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emmettwald/Documents/Random Whateverness/Cannabis growing/"/>
    </mc:Choice>
  </mc:AlternateContent>
  <xr:revisionPtr revIDLastSave="0" documentId="13_ncr:1_{471779D9-0AD3-034A-A38A-E0B59161B462}" xr6:coauthVersionLast="36" xr6:coauthVersionMax="36" xr10:uidLastSave="{00000000-0000-0000-0000-000000000000}"/>
  <bookViews>
    <workbookView xWindow="3120" yWindow="460" windowWidth="23980" windowHeight="16540" tabRatio="500" xr2:uid="{00000000-000D-0000-FFFF-FFFF00000000}"/>
  </bookViews>
  <sheets>
    <sheet name="humidity, VPD, etc." sheetId="2" r:id="rId1"/>
    <sheet name="nutrients" sheetId="3" r:id="rId2"/>
    <sheet name="stages" sheetId="1" r:id="rId3"/>
  </sheets>
  <calcPr calcId="18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8" i="3" l="1"/>
  <c r="H4" i="3"/>
  <c r="I4" i="3"/>
  <c r="J4" i="3"/>
  <c r="H5" i="3"/>
  <c r="I5" i="3"/>
  <c r="J5" i="3"/>
  <c r="H6" i="3"/>
  <c r="I6" i="3"/>
  <c r="J6" i="3"/>
  <c r="H7" i="3"/>
  <c r="I7" i="3"/>
  <c r="J7" i="3"/>
  <c r="H8" i="3"/>
  <c r="I8" i="3"/>
  <c r="J8" i="3"/>
  <c r="H9" i="3"/>
  <c r="I9" i="3"/>
  <c r="J9" i="3"/>
  <c r="H10" i="3"/>
  <c r="I10" i="3"/>
  <c r="J10" i="3"/>
  <c r="H11" i="3"/>
  <c r="I11" i="3"/>
  <c r="J11" i="3"/>
  <c r="H12" i="3"/>
  <c r="I12" i="3"/>
  <c r="J12" i="3"/>
  <c r="H13" i="3"/>
  <c r="I13" i="3"/>
  <c r="J13" i="3"/>
  <c r="H14" i="3"/>
  <c r="I14" i="3"/>
  <c r="J14" i="3"/>
  <c r="H15" i="3"/>
  <c r="I15" i="3"/>
  <c r="J15" i="3"/>
  <c r="H16" i="3"/>
  <c r="I16" i="3"/>
  <c r="J16" i="3"/>
  <c r="H17" i="3"/>
  <c r="I17" i="3"/>
  <c r="J17" i="3"/>
  <c r="I18" i="3"/>
  <c r="J18" i="3"/>
  <c r="H19" i="3"/>
  <c r="I19" i="3"/>
  <c r="J19" i="3"/>
  <c r="I3" i="3"/>
  <c r="J3" i="3"/>
  <c r="H3" i="3"/>
  <c r="P5" i="3"/>
  <c r="Q5" i="3" s="1"/>
  <c r="L3" i="3"/>
  <c r="L4" i="3"/>
  <c r="L5" i="3"/>
  <c r="L6" i="3"/>
  <c r="L20" i="3" s="1"/>
  <c r="L21" i="3" s="1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M5" i="3"/>
  <c r="M9" i="3"/>
  <c r="M12" i="3"/>
  <c r="M8" i="3"/>
  <c r="M10" i="3"/>
  <c r="M20" i="3" s="1"/>
  <c r="M21" i="3" s="1"/>
  <c r="M16" i="3"/>
  <c r="M7" i="3"/>
  <c r="M4" i="3"/>
  <c r="M6" i="3"/>
  <c r="M3" i="3"/>
  <c r="M11" i="3"/>
  <c r="M13" i="3"/>
  <c r="M14" i="3"/>
  <c r="M15" i="3"/>
  <c r="M17" i="3"/>
  <c r="M18" i="3"/>
  <c r="M19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 s="1"/>
  <c r="P3" i="3"/>
  <c r="Q3" i="3" s="1"/>
  <c r="P19" i="3"/>
  <c r="P18" i="3"/>
  <c r="P11" i="3"/>
  <c r="P10" i="3"/>
  <c r="Q10" i="3" s="1"/>
  <c r="P9" i="3"/>
  <c r="P17" i="3"/>
  <c r="Q17" i="3" s="1"/>
  <c r="P16" i="3"/>
  <c r="Q16" i="3" s="1"/>
  <c r="P15" i="3"/>
  <c r="Q15" i="3" s="1"/>
  <c r="P14" i="3"/>
  <c r="P13" i="3"/>
  <c r="P12" i="3"/>
  <c r="Q12" i="3" s="1"/>
  <c r="P6" i="3"/>
  <c r="Q6" i="3" s="1"/>
  <c r="P4" i="3"/>
  <c r="Q4" i="3" s="1"/>
  <c r="O3" i="3"/>
  <c r="O4" i="3"/>
  <c r="O5" i="3"/>
  <c r="O6" i="3"/>
  <c r="O7" i="3"/>
  <c r="Q7" i="3" s="1"/>
  <c r="O8" i="3"/>
  <c r="Q8" i="3" s="1"/>
  <c r="O9" i="3"/>
  <c r="Q9" i="3" s="1"/>
  <c r="O10" i="3"/>
  <c r="O11" i="3"/>
  <c r="Q11" i="3" s="1"/>
  <c r="O12" i="3"/>
  <c r="O13" i="3"/>
  <c r="Q13" i="3" s="1"/>
  <c r="O14" i="3"/>
  <c r="Q14" i="3" s="1"/>
  <c r="O15" i="3"/>
  <c r="O16" i="3"/>
  <c r="O17" i="3"/>
  <c r="O18" i="3"/>
  <c r="Q18" i="3" s="1"/>
  <c r="O19" i="3"/>
  <c r="P25" i="3"/>
  <c r="Q25" i="3" s="1"/>
  <c r="O25" i="3"/>
  <c r="P26" i="3"/>
  <c r="Q26" i="3" s="1"/>
  <c r="O26" i="3"/>
  <c r="P27" i="3"/>
  <c r="O27" i="3"/>
  <c r="Q27" i="3" s="1"/>
  <c r="P28" i="3"/>
  <c r="Q28" i="3" s="1"/>
  <c r="O28" i="3"/>
  <c r="P29" i="3"/>
  <c r="Q29" i="3" s="1"/>
  <c r="O29" i="3"/>
  <c r="P30" i="3"/>
  <c r="O30" i="3"/>
  <c r="Q30" i="3"/>
  <c r="P31" i="3"/>
  <c r="Q31" i="3" s="1"/>
  <c r="O31" i="3"/>
  <c r="P32" i="3"/>
  <c r="Q32" i="3" s="1"/>
  <c r="O32" i="3"/>
  <c r="P33" i="3"/>
  <c r="O33" i="3"/>
  <c r="Q33" i="3" s="1"/>
  <c r="P34" i="3"/>
  <c r="Q34" i="3" s="1"/>
  <c r="O34" i="3"/>
  <c r="P24" i="3"/>
  <c r="O24" i="3"/>
  <c r="Q24" i="3" s="1"/>
  <c r="P35" i="3"/>
  <c r="O35" i="3"/>
  <c r="B5" i="2"/>
  <c r="B6" i="2" s="1"/>
  <c r="I5" i="2"/>
  <c r="K5" i="2" s="1"/>
  <c r="J5" i="2"/>
  <c r="I6" i="2"/>
  <c r="J6" i="2" s="1"/>
  <c r="B8" i="2"/>
  <c r="I7" i="2"/>
  <c r="J7" i="2" s="1"/>
  <c r="K7" i="2"/>
  <c r="N7" i="2" s="1"/>
  <c r="I8" i="2"/>
  <c r="J8" i="2" s="1"/>
  <c r="K8" i="2"/>
  <c r="N8" i="2" s="1"/>
  <c r="I9" i="2"/>
  <c r="J9" i="2"/>
  <c r="K9" i="2"/>
  <c r="M9" i="2" s="1"/>
  <c r="I10" i="2"/>
  <c r="K10" i="2" s="1"/>
  <c r="J10" i="2"/>
  <c r="I11" i="2"/>
  <c r="K11" i="2" s="1"/>
  <c r="J11" i="2"/>
  <c r="I12" i="2"/>
  <c r="K12" i="2" s="1"/>
  <c r="J12" i="2"/>
  <c r="I13" i="2"/>
  <c r="K13" i="2" s="1"/>
  <c r="J13" i="2"/>
  <c r="I14" i="2"/>
  <c r="K14" i="2" s="1"/>
  <c r="J14" i="2"/>
  <c r="I15" i="2"/>
  <c r="K15" i="2" s="1"/>
  <c r="J15" i="2"/>
  <c r="D19" i="2"/>
  <c r="D20" i="2"/>
  <c r="I23" i="2"/>
  <c r="K23" i="2" s="1"/>
  <c r="J23" i="2"/>
  <c r="I24" i="2"/>
  <c r="J24" i="2" s="1"/>
  <c r="K24" i="2"/>
  <c r="N24" i="2" s="1"/>
  <c r="I25" i="2"/>
  <c r="K25" i="2" s="1"/>
  <c r="I26" i="2"/>
  <c r="K26" i="2" s="1"/>
  <c r="J26" i="2"/>
  <c r="I27" i="2"/>
  <c r="K27" i="2" s="1"/>
  <c r="I28" i="2"/>
  <c r="K28" i="2" s="1"/>
  <c r="J28" i="2"/>
  <c r="I29" i="2"/>
  <c r="K29" i="2" s="1"/>
  <c r="J29" i="2"/>
  <c r="I30" i="2"/>
  <c r="K30" i="2" s="1"/>
  <c r="J30" i="2"/>
  <c r="I31" i="2"/>
  <c r="J31" i="2" s="1"/>
  <c r="K31" i="2"/>
  <c r="I32" i="2"/>
  <c r="K32" i="2" s="1"/>
  <c r="I33" i="2"/>
  <c r="J33" i="2" s="1"/>
  <c r="L12" i="2" l="1"/>
  <c r="T12" i="2"/>
  <c r="M12" i="2"/>
  <c r="U12" i="2"/>
  <c r="N12" i="2"/>
  <c r="V12" i="2"/>
  <c r="O12" i="2"/>
  <c r="W12" i="2"/>
  <c r="Q12" i="2"/>
  <c r="P12" i="2"/>
  <c r="X12" i="2"/>
  <c r="S12" i="2"/>
  <c r="R12" i="2"/>
  <c r="Q30" i="2"/>
  <c r="R30" i="2"/>
  <c r="S30" i="2"/>
  <c r="L30" i="2"/>
  <c r="N30" i="2"/>
  <c r="M30" i="2"/>
  <c r="P30" i="2"/>
  <c r="O30" i="2"/>
  <c r="L15" i="2"/>
  <c r="T15" i="2"/>
  <c r="M15" i="2"/>
  <c r="R15" i="2"/>
  <c r="N15" i="2"/>
  <c r="V15" i="2"/>
  <c r="O15" i="2"/>
  <c r="W15" i="2"/>
  <c r="Q15" i="2"/>
  <c r="P15" i="2"/>
  <c r="X15" i="2"/>
  <c r="S15" i="2"/>
  <c r="U15" i="2"/>
  <c r="L10" i="2"/>
  <c r="T10" i="2"/>
  <c r="M10" i="2"/>
  <c r="U10" i="2"/>
  <c r="N10" i="2"/>
  <c r="V10" i="2"/>
  <c r="O10" i="2"/>
  <c r="W10" i="2"/>
  <c r="P10" i="2"/>
  <c r="X10" i="2"/>
  <c r="Q10" i="2"/>
  <c r="S10" i="2"/>
  <c r="R10" i="2"/>
  <c r="S32" i="2"/>
  <c r="R32" i="2"/>
  <c r="Q32" i="2"/>
  <c r="O28" i="2"/>
  <c r="P28" i="2"/>
  <c r="Q28" i="2"/>
  <c r="R28" i="2"/>
  <c r="L28" i="2"/>
  <c r="S28" i="2"/>
  <c r="N28" i="2"/>
  <c r="M28" i="2"/>
  <c r="Q23" i="2"/>
  <c r="R23" i="2"/>
  <c r="S23" i="2"/>
  <c r="L23" i="2"/>
  <c r="M23" i="2"/>
  <c r="N23" i="2"/>
  <c r="P23" i="2"/>
  <c r="O23" i="2"/>
  <c r="L13" i="2"/>
  <c r="T13" i="2"/>
  <c r="M13" i="2"/>
  <c r="N13" i="2"/>
  <c r="V13" i="2"/>
  <c r="O13" i="2"/>
  <c r="W13" i="2"/>
  <c r="Q13" i="2"/>
  <c r="P13" i="2"/>
  <c r="X13" i="2"/>
  <c r="S13" i="2"/>
  <c r="U13" i="2"/>
  <c r="R13" i="2"/>
  <c r="O26" i="2"/>
  <c r="Q26" i="2"/>
  <c r="R26" i="2"/>
  <c r="L26" i="2"/>
  <c r="S26" i="2"/>
  <c r="N26" i="2"/>
  <c r="P26" i="2"/>
  <c r="M26" i="2"/>
  <c r="L11" i="2"/>
  <c r="T11" i="2"/>
  <c r="M11" i="2"/>
  <c r="N11" i="2"/>
  <c r="V11" i="2"/>
  <c r="O11" i="2"/>
  <c r="W11" i="2"/>
  <c r="Q11" i="2"/>
  <c r="P11" i="2"/>
  <c r="X11" i="2"/>
  <c r="S11" i="2"/>
  <c r="U11" i="2"/>
  <c r="R11" i="2"/>
  <c r="L29" i="2"/>
  <c r="R29" i="2"/>
  <c r="N29" i="2"/>
  <c r="O29" i="2"/>
  <c r="Q29" i="2"/>
  <c r="P29" i="2"/>
  <c r="S29" i="2"/>
  <c r="M29" i="2"/>
  <c r="L14" i="2"/>
  <c r="T14" i="2"/>
  <c r="M14" i="2"/>
  <c r="R14" i="2"/>
  <c r="N14" i="2"/>
  <c r="V14" i="2"/>
  <c r="O14" i="2"/>
  <c r="W14" i="2"/>
  <c r="P14" i="2"/>
  <c r="X14" i="2"/>
  <c r="Q14" i="2"/>
  <c r="S14" i="2"/>
  <c r="U14" i="2"/>
  <c r="E7" i="2"/>
  <c r="D21" i="2" s="1"/>
  <c r="D25" i="2" s="1"/>
  <c r="D26" i="2" s="1"/>
  <c r="D27" i="2" s="1"/>
  <c r="N31" i="2"/>
  <c r="R27" i="2"/>
  <c r="Q5" i="2"/>
  <c r="R5" i="2"/>
  <c r="S5" i="2"/>
  <c r="L5" i="2"/>
  <c r="T5" i="2"/>
  <c r="M5" i="2"/>
  <c r="U5" i="2"/>
  <c r="N5" i="2"/>
  <c r="V5" i="2"/>
  <c r="O5" i="2"/>
  <c r="W5" i="2"/>
  <c r="P5" i="2"/>
  <c r="X5" i="2"/>
  <c r="L31" i="2"/>
  <c r="L24" i="2"/>
  <c r="S9" i="2"/>
  <c r="S31" i="2"/>
  <c r="O31" i="2"/>
  <c r="W7" i="2"/>
  <c r="J32" i="2"/>
  <c r="L32" i="2" s="1"/>
  <c r="M31" i="2"/>
  <c r="J27" i="2"/>
  <c r="S27" i="2" s="1"/>
  <c r="J25" i="2"/>
  <c r="O25" i="2" s="1"/>
  <c r="M24" i="2"/>
  <c r="T9" i="2"/>
  <c r="L9" i="2"/>
  <c r="U8" i="2"/>
  <c r="M8" i="2"/>
  <c r="U7" i="2"/>
  <c r="M7" i="2"/>
  <c r="T8" i="2"/>
  <c r="L8" i="2"/>
  <c r="T7" i="2"/>
  <c r="L7" i="2"/>
  <c r="R9" i="2"/>
  <c r="S7" i="2"/>
  <c r="R31" i="2"/>
  <c r="R24" i="2"/>
  <c r="E10" i="2"/>
  <c r="Q9" i="2"/>
  <c r="R8" i="2"/>
  <c r="R7" i="2"/>
  <c r="S24" i="2"/>
  <c r="S8" i="2"/>
  <c r="K33" i="2"/>
  <c r="Q31" i="2"/>
  <c r="Q24" i="2"/>
  <c r="X9" i="2"/>
  <c r="P9" i="2"/>
  <c r="B9" i="2"/>
  <c r="Q8" i="2"/>
  <c r="Q7" i="2"/>
  <c r="K6" i="2"/>
  <c r="P31" i="2"/>
  <c r="P24" i="2"/>
  <c r="W9" i="2"/>
  <c r="O9" i="2"/>
  <c r="X8" i="2"/>
  <c r="P8" i="2"/>
  <c r="X7" i="2"/>
  <c r="P7" i="2"/>
  <c r="O24" i="2"/>
  <c r="V9" i="2"/>
  <c r="N9" i="2"/>
  <c r="W8" i="2"/>
  <c r="O8" i="2"/>
  <c r="O7" i="2"/>
  <c r="U9" i="2"/>
  <c r="V8" i="2"/>
  <c r="V7" i="2"/>
  <c r="O27" i="2" l="1"/>
  <c r="N25" i="2"/>
  <c r="P6" i="2"/>
  <c r="X6" i="2"/>
  <c r="Q6" i="2"/>
  <c r="R6" i="2"/>
  <c r="S6" i="2"/>
  <c r="L6" i="2"/>
  <c r="T6" i="2"/>
  <c r="M6" i="2"/>
  <c r="U6" i="2"/>
  <c r="N6" i="2"/>
  <c r="V6" i="2"/>
  <c r="O6" i="2"/>
  <c r="W6" i="2"/>
  <c r="M25" i="2"/>
  <c r="N27" i="2"/>
  <c r="O32" i="2"/>
  <c r="M27" i="2"/>
  <c r="L25" i="2"/>
  <c r="M32" i="2"/>
  <c r="L27" i="2"/>
  <c r="R25" i="2"/>
  <c r="P32" i="2"/>
  <c r="P25" i="2"/>
  <c r="P33" i="2"/>
  <c r="Q33" i="2"/>
  <c r="M33" i="2"/>
  <c r="R33" i="2"/>
  <c r="S33" i="2"/>
  <c r="L33" i="2"/>
  <c r="O33" i="2"/>
  <c r="N33" i="2"/>
  <c r="P27" i="2"/>
  <c r="S25" i="2"/>
  <c r="Q25" i="2"/>
  <c r="N32" i="2"/>
  <c r="Q27" i="2"/>
</calcChain>
</file>

<file path=xl/sharedStrings.xml><?xml version="1.0" encoding="utf-8"?>
<sst xmlns="http://schemas.openxmlformats.org/spreadsheetml/2006/main" count="268" uniqueCount="171">
  <si>
    <t>see "humidity, VPD, etc." tab for more info</t>
  </si>
  <si>
    <t>ME = http://bmcnoldy.rsmas.miami.edu/Humidity.html</t>
  </si>
  <si>
    <t>PSB = Pacific Seed Bank: https://www.pacificseedbank.com/marijuana-education/marijuana-seed-germination-guide/</t>
  </si>
  <si>
    <t>PG = Pulse Grow: https://pulsegrow.com/blogs/learn/vpd</t>
  </si>
  <si>
    <t>HT = High Times: https://hightimes.com/grow/best-grow-room-temperature/</t>
  </si>
  <si>
    <t>WB = The Weed Blog: https://theweedblog.com/growing/optimal-grow-room-humidity-at-every-stage-of-your-cannabis-grow</t>
  </si>
  <si>
    <t>L = Leafly: https://www.leafly.com/news/growing/how-to-regulate-temperature-humidity-indoor-marijuana-grow</t>
  </si>
  <si>
    <t>–</t>
  </si>
  <si>
    <t>0/24</t>
  </si>
  <si>
    <t>1-2wk</t>
  </si>
  <si>
    <t>68-72</t>
  </si>
  <si>
    <t>curing</t>
  </si>
  <si>
    <t>1wk</t>
  </si>
  <si>
    <t>65-70</t>
  </si>
  <si>
    <t>drying</t>
  </si>
  <si>
    <t>12/12</t>
  </si>
  <si>
    <t>2wk (HT)</t>
  </si>
  <si>
    <t>1.2-1.6 (L), 1.2-1.5 (PG)</t>
  </si>
  <si>
    <t>1.2-1.5</t>
  </si>
  <si>
    <t>35?</t>
  </si>
  <si>
    <t>65-80 (L), 68-75day (HT)</t>
  </si>
  <si>
    <t>68-75</t>
  </si>
  <si>
    <t>late bloom</t>
  </si>
  <si>
    <t>0.8-1.6 (L), 1.2-1.5 (PG)</t>
  </si>
  <si>
    <t>45-50?</t>
  </si>
  <si>
    <t>bloom</t>
  </si>
  <si>
    <t>1mon (WB), 3-9wk (PSB)</t>
  </si>
  <si>
    <t>4-6wk</t>
  </si>
  <si>
    <t>0.8-1.2 (L), 1.0 (PG)</t>
  </si>
  <si>
    <t>40-60 (L), 50-70 (WB), 45-55 (HT)</t>
  </si>
  <si>
    <t>50-55</t>
  </si>
  <si>
    <t>70-85 (L), 70-78day (HT)</t>
  </si>
  <si>
    <t>70-78</t>
  </si>
  <si>
    <t>veg</t>
  </si>
  <si>
    <t>0.4-0.8 (L), 0.8-1.2 (PG)</t>
  </si>
  <si>
    <t>0.4-0.8</t>
  </si>
  <si>
    <t>70 (L), 60-65 (WB)</t>
  </si>
  <si>
    <t>65?</t>
  </si>
  <si>
    <t>75-85 (L)</t>
  </si>
  <si>
    <t>seedling</t>
  </si>
  <si>
    <t>18/6?</t>
  </si>
  <si>
    <t>1wk (WB)</t>
  </si>
  <si>
    <t>0.4-0.8 (L), 0.8 (PG)</t>
  </si>
  <si>
    <t>80-100 (WB), 75-85 (HT)</t>
  </si>
  <si>
    <t>80-85</t>
  </si>
  <si>
    <t>75-85 (L), 74-78 (HT)</t>
  </si>
  <si>
    <t>rooting clones</t>
  </si>
  <si>
    <t>3-14d (PSB)</t>
  </si>
  <si>
    <t>0.8 (PG)</t>
  </si>
  <si>
    <t>~100 (PSB)</t>
  </si>
  <si>
    <t>75 (PSB)</t>
  </si>
  <si>
    <t>75</t>
  </si>
  <si>
    <t>germination</t>
  </si>
  <si>
    <t>Notes</t>
  </si>
  <si>
    <t>Nutrients</t>
  </si>
  <si>
    <t>Light Color</t>
  </si>
  <si>
    <r>
      <t xml:space="preserve">Light Time </t>
    </r>
    <r>
      <rPr>
        <sz val="12"/>
        <color theme="1"/>
        <rFont val="Helvetica Neue"/>
      </rPr>
      <t>(hrs on/off)</t>
    </r>
  </si>
  <si>
    <t>Duration</t>
  </si>
  <si>
    <r>
      <t>VPD</t>
    </r>
    <r>
      <rPr>
        <sz val="12"/>
        <color theme="1"/>
        <rFont val="Helvetica Neue"/>
      </rPr>
      <t xml:space="preserve"> (kPa)</t>
    </r>
  </si>
  <si>
    <r>
      <t xml:space="preserve">Relative Humidity </t>
    </r>
    <r>
      <rPr>
        <sz val="12"/>
        <color theme="1"/>
        <rFont val="Helvetica Neue"/>
      </rPr>
      <t>(%)</t>
    </r>
  </si>
  <si>
    <t>Stage</t>
  </si>
  <si>
    <t>VPD (kPa) = (SVP - AVP) / 10</t>
  </si>
  <si>
    <t>T = temp (K)</t>
  </si>
  <si>
    <t>Rv = 461.5 J/kgK</t>
  </si>
  <si>
    <t>AH (g/m^3) = (SVP * RH) / (Rv * T) * 1000</t>
  </si>
  <si>
    <t>AVP (hPa) = SVP * RH</t>
  </si>
  <si>
    <t>T = temp (°C)</t>
  </si>
  <si>
    <t>Rv =</t>
  </si>
  <si>
    <t>SVP (hPa) = 6.1094 * e^(17.625*T / (243.04+T))</t>
  </si>
  <si>
    <t>Equations Used</t>
  </si>
  <si>
    <t>***but mass of water vapor ≠ mass of liquid water…?</t>
  </si>
  <si>
    <t>kPa</t>
  </si>
  <si>
    <t>new VPD</t>
  </si>
  <si>
    <t>%</t>
  </si>
  <si>
    <t>new RH</t>
  </si>
  <si>
    <t>g/m^3</t>
  </si>
  <si>
    <t>new AH</t>
  </si>
  <si>
    <t>***</t>
  </si>
  <si>
    <t>g</t>
  </si>
  <si>
    <t>dehumidifier removes</t>
  </si>
  <si>
    <t>Absolute Humidity (g/m^3)</t>
  </si>
  <si>
    <t>(hPa)</t>
  </si>
  <si>
    <t>K</t>
  </si>
  <si>
    <t>°C</t>
  </si>
  <si>
    <t>°F</t>
  </si>
  <si>
    <t>water vapor in grow tent</t>
  </si>
  <si>
    <t>SVP</t>
  </si>
  <si>
    <t>Temperature</t>
  </si>
  <si>
    <t>m^3</t>
  </si>
  <si>
    <t>grow tent volume</t>
  </si>
  <si>
    <t>Relative Humidity (%)</t>
  </si>
  <si>
    <t>ft^3</t>
  </si>
  <si>
    <t>BLOOM</t>
  </si>
  <si>
    <t>Absolute Humidity Table</t>
  </si>
  <si>
    <t>Dehumidifying</t>
  </si>
  <si>
    <t>VEG</t>
  </si>
  <si>
    <t>SEEDLING</t>
  </si>
  <si>
    <r>
      <t xml:space="preserve">output; </t>
    </r>
    <r>
      <rPr>
        <i/>
        <sz val="12"/>
        <rFont val="Calibri (Body)"/>
      </rPr>
      <t>DON'T EDIT</t>
    </r>
  </si>
  <si>
    <t>##</t>
  </si>
  <si>
    <r>
      <t xml:space="preserve">intermediate value; </t>
    </r>
    <r>
      <rPr>
        <i/>
        <sz val="12"/>
        <rFont val="Calibri (Body)"/>
      </rPr>
      <t>DON'T EDIT</t>
    </r>
  </si>
  <si>
    <t>input; edit me!</t>
  </si>
  <si>
    <t>J/kgK</t>
  </si>
  <si>
    <t>Rv</t>
  </si>
  <si>
    <t>VPD</t>
  </si>
  <si>
    <t>vapor pressure deficit</t>
  </si>
  <si>
    <t>hPa</t>
  </si>
  <si>
    <t>AVP</t>
  </si>
  <si>
    <t>AH</t>
  </si>
  <si>
    <t>absolute humidity</t>
  </si>
  <si>
    <t>temp</t>
  </si>
  <si>
    <t>Vapor Pressure Deficit (kPa)</t>
  </si>
  <si>
    <t>RH</t>
  </si>
  <si>
    <t>Calculator</t>
  </si>
  <si>
    <t>Vapor Pressure Deficit Table</t>
  </si>
  <si>
    <t xml:space="preserve">Absolute Humidity &amp; Vapor Pressure Deficit </t>
  </si>
  <si>
    <t>6-10d (HT), 3-7d (PSB), 10-14d (ER)</t>
  </si>
  <si>
    <t>ER = https://www.edrosenthal.com/the-guru-of-ganja-blog/drying-and-curing-cannabis-the-art-of-enhancing-effect-and-flavor</t>
  </si>
  <si>
    <t>65-74 (HT), 60-70 (PSB), 68-&gt;64 (ER)</t>
  </si>
  <si>
    <t>5-15d (PSB), 1-2mon (ER)</t>
  </si>
  <si>
    <t>68-72 (HT), 64 (ER)</t>
  </si>
  <si>
    <t>green?</t>
  </si>
  <si>
    <t>45-50 (ER)</t>
  </si>
  <si>
    <t>45-55 (HT, PSB), 50-55 (ER)</t>
  </si>
  <si>
    <t>45-50</t>
  </si>
  <si>
    <t>&lt;1wk</t>
  </si>
  <si>
    <t>40-50 (L), 40-60 (WB), 30-45 (HT)</t>
  </si>
  <si>
    <t>10-12wk</t>
  </si>
  <si>
    <t>8-10wk + ~2wk</t>
  </si>
  <si>
    <t>18/6 or 24/0</t>
  </si>
  <si>
    <t>24/0</t>
  </si>
  <si>
    <t>?</t>
  </si>
  <si>
    <t>Light Dist. (in)</t>
  </si>
  <si>
    <t>blue</t>
  </si>
  <si>
    <t>blue+red</t>
  </si>
  <si>
    <t>75-80</t>
  </si>
  <si>
    <t>18-26wk = 4-6mon</t>
  </si>
  <si>
    <r>
      <t xml:space="preserve">Temp. </t>
    </r>
    <r>
      <rPr>
        <sz val="12"/>
        <color theme="1"/>
        <rFont val="Helvetica Neue"/>
      </rPr>
      <t>(°F)</t>
    </r>
  </si>
  <si>
    <t>Veg</t>
  </si>
  <si>
    <t>Bloom</t>
  </si>
  <si>
    <t>Week</t>
  </si>
  <si>
    <t>Micro</t>
  </si>
  <si>
    <t>Gro</t>
  </si>
  <si>
    <t>PPM</t>
  </si>
  <si>
    <t>200-250</t>
  </si>
  <si>
    <t>550-700</t>
  </si>
  <si>
    <t>600-900</t>
  </si>
  <si>
    <t>650-900</t>
  </si>
  <si>
    <t>500-700</t>
  </si>
  <si>
    <t>550-750</t>
  </si>
  <si>
    <t>600-800</t>
  </si>
  <si>
    <t>400-700</t>
  </si>
  <si>
    <t>0-50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</si>
  <si>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</si>
  <si>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</si>
  <si>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</si>
  <si>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</si>
  <si>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</si>
  <si>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</si>
  <si>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</si>
  <si>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</t>
  </si>
  <si>
    <t>Flush</t>
  </si>
  <si>
    <t>ml/gal</t>
  </si>
  <si>
    <t>RECOMMENDED</t>
  </si>
  <si>
    <t>Mid Growth</t>
  </si>
  <si>
    <t>100-150</t>
  </si>
  <si>
    <t>ml</t>
  </si>
  <si>
    <t>qt</t>
  </si>
  <si>
    <t>Concentration (ml/gal)</t>
  </si>
  <si>
    <t>Total Quantity (ml)</t>
  </si>
  <si>
    <t>Per Plant (ml)</t>
  </si>
  <si>
    <t>B&amp;W BECAUSE SILLY PRINTER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</si>
</sst>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Helvetica Neue"/>
    </font>
    <font>
      <b/>
      <i/>
      <sz val="12"/>
      <color theme="1"/>
      <name val="Helvetica Neue"/>
    </font>
    <font>
      <i/>
      <sz val="12"/>
      <color theme="1"/>
      <name val="Helvetica Neue"/>
    </font>
    <font>
      <b/>
      <sz val="12"/>
      <color theme="1"/>
      <name val="Helvetica Neue"/>
    </font>
    <font>
      <i/>
      <sz val="10"/>
      <color theme="1" tint="0.499984740745262"/>
      <name val="Helvetica Neue"/>
    </font>
    <font>
      <i/>
      <sz val="12"/>
      <color theme="1"/>
      <name val="Calibri"/>
      <scheme val="minor"/>
    </font>
    <font>
      <b/>
      <i/>
      <u/>
      <sz val="12"/>
      <color theme="1"/>
      <name val="Calibri"/>
      <scheme val="minor"/>
    </font>
    <font>
      <sz val="12"/>
      <color rgb="FFC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i/>
      <sz val="12"/>
      <name val="Calibri"/>
      <scheme val="minor"/>
    </font>
    <font>
      <i/>
      <sz val="12"/>
      <name val="Calibri (Body)"/>
    </font>
    <font>
      <b/>
      <u/>
      <sz val="14"/>
      <color rgb="FF000000"/>
      <name val="Calibri"/>
      <family val="2"/>
      <scheme val="minor"/>
    </font>
    <font>
      <b/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i/>
      <sz val="14"/>
      <color theme="1"/>
      <name val="Calibri"/>
      <scheme val="minor"/>
    </font>
    <font>
      <i/>
      <sz val="14"/>
      <color theme="1"/>
      <name val="Calibri"/>
      <scheme val="minor"/>
    </font>
    <font>
      <sz val="14"/>
      <color theme="1"/>
      <name val="Calibri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20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6" fillId="0" borderId="3" xfId="0" applyFont="1" applyBorder="1"/>
    <xf numFmtId="0" fontId="2" fillId="0" borderId="4" xfId="0" applyFont="1" applyBorder="1" applyAlignment="1">
      <alignment horizontal="left"/>
    </xf>
    <xf numFmtId="0" fontId="6" fillId="0" borderId="0" xfId="0" applyFont="1"/>
    <xf numFmtId="0" fontId="2" fillId="0" borderId="0" xfId="0" quotePrefix="1" applyFont="1"/>
    <xf numFmtId="0" fontId="2" fillId="0" borderId="3" xfId="0" quotePrefix="1" applyFont="1" applyBorder="1"/>
    <xf numFmtId="0" fontId="2" fillId="0" borderId="4" xfId="0" quotePrefix="1" applyFont="1" applyBorder="1"/>
    <xf numFmtId="16" fontId="2" fillId="0" borderId="0" xfId="0" quotePrefix="1" applyNumberFormat="1" applyFont="1"/>
    <xf numFmtId="16" fontId="2" fillId="0" borderId="3" xfId="0" quotePrefix="1" applyNumberFormat="1" applyFont="1" applyBorder="1"/>
    <xf numFmtId="16" fontId="2" fillId="0" borderId="4" xfId="0" quotePrefix="1" applyNumberFormat="1" applyFont="1" applyBorder="1"/>
    <xf numFmtId="164" fontId="2" fillId="0" borderId="4" xfId="0" applyNumberFormat="1" applyFont="1" applyBorder="1" applyAlignment="1">
      <alignment horizontal="left"/>
    </xf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0" fillId="0" borderId="7" xfId="0" applyBorder="1"/>
    <xf numFmtId="0" fontId="7" fillId="0" borderId="5" xfId="0" applyFont="1" applyBorder="1"/>
    <xf numFmtId="0" fontId="0" fillId="0" borderId="5" xfId="0" applyBorder="1"/>
    <xf numFmtId="0" fontId="7" fillId="0" borderId="8" xfId="0" applyFont="1" applyBorder="1"/>
    <xf numFmtId="0" fontId="0" fillId="0" borderId="3" xfId="0" applyBorder="1"/>
    <xf numFmtId="0" fontId="7" fillId="0" borderId="0" xfId="0" applyFont="1" applyBorder="1"/>
    <xf numFmtId="0" fontId="0" fillId="0" borderId="0" xfId="0" applyBorder="1"/>
    <xf numFmtId="0" fontId="7" fillId="0" borderId="4" xfId="0" applyFont="1" applyBorder="1"/>
    <xf numFmtId="0" fontId="7" fillId="0" borderId="3" xfId="0" applyFont="1" applyBorder="1"/>
    <xf numFmtId="164" fontId="0" fillId="2" borderId="7" xfId="0" applyNumberFormat="1" applyFont="1" applyFill="1" applyBorder="1" applyAlignment="1">
      <alignment horizontal="center"/>
    </xf>
    <xf numFmtId="164" fontId="0" fillId="2" borderId="5" xfId="0" applyNumberFormat="1" applyFont="1" applyFill="1" applyBorder="1" applyAlignment="1">
      <alignment horizontal="center"/>
    </xf>
    <xf numFmtId="164" fontId="0" fillId="2" borderId="8" xfId="0" applyNumberFormat="1" applyFont="1" applyFill="1" applyBorder="1" applyAlignment="1">
      <alignment horizontal="center"/>
    </xf>
    <xf numFmtId="2" fontId="7" fillId="2" borderId="5" xfId="0" applyNumberFormat="1" applyFont="1" applyFill="1" applyBorder="1"/>
    <xf numFmtId="164" fontId="7" fillId="2" borderId="7" xfId="0" applyNumberFormat="1" applyFont="1" applyFill="1" applyBorder="1"/>
    <xf numFmtId="164" fontId="7" fillId="2" borderId="5" xfId="0" applyNumberFormat="1" applyFont="1" applyFill="1" applyBorder="1"/>
    <xf numFmtId="0" fontId="7" fillId="2" borderId="8" xfId="0" applyFont="1" applyFill="1" applyBorder="1"/>
    <xf numFmtId="0" fontId="0" fillId="0" borderId="9" xfId="0" applyBorder="1"/>
    <xf numFmtId="0" fontId="0" fillId="0" borderId="10" xfId="0" applyBorder="1"/>
    <xf numFmtId="0" fontId="7" fillId="0" borderId="10" xfId="0" applyFont="1" applyBorder="1"/>
    <xf numFmtId="0" fontId="8" fillId="0" borderId="11" xfId="0" applyFont="1" applyBorder="1"/>
    <xf numFmtId="164" fontId="0" fillId="0" borderId="3" xfId="0" applyNumberFormat="1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2" fontId="7" fillId="0" borderId="0" xfId="0" applyNumberFormat="1" applyFont="1" applyBorder="1"/>
    <xf numFmtId="164" fontId="7" fillId="0" borderId="3" xfId="0" applyNumberFormat="1" applyFont="1" applyBorder="1"/>
    <xf numFmtId="164" fontId="7" fillId="0" borderId="0" xfId="0" applyNumberFormat="1" applyFont="1" applyBorder="1"/>
    <xf numFmtId="164" fontId="0" fillId="2" borderId="3" xfId="0" applyNumberFormat="1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164" fontId="0" fillId="2" borderId="4" xfId="0" applyNumberFormat="1" applyFont="1" applyFill="1" applyBorder="1" applyAlignment="1">
      <alignment horizontal="center"/>
    </xf>
    <xf numFmtId="2" fontId="7" fillId="2" borderId="0" xfId="0" applyNumberFormat="1" applyFont="1" applyFill="1" applyBorder="1"/>
    <xf numFmtId="164" fontId="7" fillId="2" borderId="3" xfId="0" applyNumberFormat="1" applyFont="1" applyFill="1" applyBorder="1"/>
    <xf numFmtId="164" fontId="7" fillId="2" borderId="0" xfId="0" applyNumberFormat="1" applyFont="1" applyFill="1" applyBorder="1"/>
    <xf numFmtId="0" fontId="7" fillId="2" borderId="4" xfId="0" applyFont="1" applyFill="1" applyBorder="1"/>
    <xf numFmtId="0" fontId="9" fillId="0" borderId="0" xfId="0" applyFont="1"/>
    <xf numFmtId="0" fontId="1" fillId="0" borderId="0" xfId="0" applyFont="1"/>
    <xf numFmtId="2" fontId="1" fillId="3" borderId="12" xfId="0" applyNumberFormat="1" applyFont="1" applyFill="1" applyBorder="1" applyAlignment="1">
      <alignment horizontal="center"/>
    </xf>
    <xf numFmtId="164" fontId="1" fillId="3" borderId="12" xfId="0" applyNumberFormat="1" applyFont="1" applyFill="1" applyBorder="1" applyAlignment="1">
      <alignment horizontal="center"/>
    </xf>
    <xf numFmtId="0" fontId="0" fillId="0" borderId="0" xfId="0" applyFont="1"/>
    <xf numFmtId="164" fontId="0" fillId="4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1" fillId="5" borderId="13" xfId="0" applyFont="1" applyFill="1" applyBorder="1" applyAlignment="1">
      <alignment horizontal="center"/>
    </xf>
    <xf numFmtId="164" fontId="0" fillId="2" borderId="9" xfId="0" applyNumberFormat="1" applyFont="1" applyFill="1" applyBorder="1" applyAlignment="1">
      <alignment horizontal="center"/>
    </xf>
    <xf numFmtId="164" fontId="0" fillId="2" borderId="10" xfId="0" applyNumberFormat="1" applyFont="1" applyFill="1" applyBorder="1" applyAlignment="1">
      <alignment horizontal="center"/>
    </xf>
    <xf numFmtId="164" fontId="0" fillId="2" borderId="11" xfId="0" applyNumberFormat="1" applyFont="1" applyFill="1" applyBorder="1" applyAlignment="1">
      <alignment horizontal="center"/>
    </xf>
    <xf numFmtId="2" fontId="7" fillId="2" borderId="10" xfId="0" applyNumberFormat="1" applyFont="1" applyFill="1" applyBorder="1"/>
    <xf numFmtId="164" fontId="7" fillId="2" borderId="9" xfId="0" applyNumberFormat="1" applyFont="1" applyFill="1" applyBorder="1"/>
    <xf numFmtId="164" fontId="7" fillId="2" borderId="10" xfId="0" applyNumberFormat="1" applyFont="1" applyFill="1" applyBorder="1"/>
    <xf numFmtId="0" fontId="7" fillId="2" borderId="11" xfId="0" applyFont="1" applyFill="1" applyBorder="1"/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0" xfId="0" applyFont="1"/>
    <xf numFmtId="2" fontId="0" fillId="4" borderId="0" xfId="0" applyNumberFormat="1" applyFill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10" fillId="0" borderId="0" xfId="0" applyFont="1"/>
    <xf numFmtId="164" fontId="0" fillId="4" borderId="0" xfId="0" applyNumberForma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2" fontId="0" fillId="2" borderId="7" xfId="0" applyNumberFormat="1" applyFont="1" applyFill="1" applyBorder="1" applyAlignment="1">
      <alignment horizontal="center"/>
    </xf>
    <xf numFmtId="2" fontId="0" fillId="2" borderId="5" xfId="0" applyNumberFormat="1" applyFont="1" applyFill="1" applyBorder="1" applyAlignment="1">
      <alignment horizontal="center"/>
    </xf>
    <xf numFmtId="2" fontId="0" fillId="2" borderId="8" xfId="0" applyNumberFormat="1" applyFont="1" applyFill="1" applyBorder="1" applyAlignment="1">
      <alignment horizontal="center"/>
    </xf>
    <xf numFmtId="0" fontId="15" fillId="0" borderId="0" xfId="0" applyFont="1" applyAlignment="1">
      <alignment vertical="center"/>
    </xf>
    <xf numFmtId="2" fontId="0" fillId="0" borderId="3" xfId="0" applyNumberFormat="1" applyFont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0" fillId="0" borderId="4" xfId="0" applyNumberFormat="1" applyFont="1" applyBorder="1" applyAlignment="1">
      <alignment horizontal="center"/>
    </xf>
    <xf numFmtId="0" fontId="0" fillId="4" borderId="0" xfId="0" applyFill="1" applyAlignment="1">
      <alignment horizontal="center"/>
    </xf>
    <xf numFmtId="2" fontId="0" fillId="2" borderId="3" xfId="0" applyNumberFormat="1" applyFont="1" applyFill="1" applyBorder="1" applyAlignment="1">
      <alignment horizontal="center"/>
    </xf>
    <xf numFmtId="2" fontId="0" fillId="2" borderId="0" xfId="0" applyNumberFormat="1" applyFont="1" applyFill="1" applyBorder="1" applyAlignment="1">
      <alignment horizontal="center"/>
    </xf>
    <xf numFmtId="2" fontId="0" fillId="2" borderId="4" xfId="0" applyNumberFormat="1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left"/>
    </xf>
    <xf numFmtId="2" fontId="0" fillId="2" borderId="9" xfId="0" applyNumberFormat="1" applyFont="1" applyFill="1" applyBorder="1" applyAlignment="1">
      <alignment horizontal="center"/>
    </xf>
    <xf numFmtId="2" fontId="0" fillId="2" borderId="10" xfId="0" applyNumberFormat="1" applyFont="1" applyFill="1" applyBorder="1" applyAlignment="1">
      <alignment horizontal="center"/>
    </xf>
    <xf numFmtId="2" fontId="0" fillId="2" borderId="11" xfId="0" applyNumberFormat="1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7" fillId="0" borderId="0" xfId="0" applyFont="1"/>
    <xf numFmtId="0" fontId="2" fillId="0" borderId="0" xfId="0" applyFont="1" applyBorder="1"/>
    <xf numFmtId="16" fontId="2" fillId="0" borderId="0" xfId="0" quotePrefix="1" applyNumberFormat="1" applyFont="1" applyBorder="1"/>
    <xf numFmtId="0" fontId="2" fillId="0" borderId="0" xfId="0" quotePrefix="1" applyNumberFormat="1" applyFont="1" applyBorder="1"/>
    <xf numFmtId="0" fontId="18" fillId="0" borderId="0" xfId="0" applyFont="1"/>
    <xf numFmtId="0" fontId="18" fillId="0" borderId="11" xfId="0" applyFont="1" applyBorder="1"/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18" fillId="0" borderId="4" xfId="0" applyFont="1" applyBorder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18" fillId="0" borderId="8" xfId="0" applyFont="1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0" xfId="0" applyNumberFormat="1"/>
    <xf numFmtId="0" fontId="21" fillId="0" borderId="0" xfId="0" applyFont="1"/>
    <xf numFmtId="0" fontId="18" fillId="0" borderId="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25" fillId="0" borderId="0" xfId="0" applyFont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3" fillId="7" borderId="11" xfId="0" applyFont="1" applyFill="1" applyBorder="1"/>
    <xf numFmtId="0" fontId="24" fillId="7" borderId="10" xfId="0" applyFont="1" applyFill="1" applyBorder="1"/>
    <xf numFmtId="0" fontId="25" fillId="7" borderId="11" xfId="0" applyFont="1" applyFill="1" applyBorder="1" applyAlignment="1">
      <alignment horizontal="center"/>
    </xf>
    <xf numFmtId="0" fontId="24" fillId="7" borderId="17" xfId="0" applyFont="1" applyFill="1" applyBorder="1" applyAlignment="1">
      <alignment horizontal="center"/>
    </xf>
    <xf numFmtId="0" fontId="25" fillId="7" borderId="10" xfId="0" applyFont="1" applyFill="1" applyBorder="1" applyAlignment="1">
      <alignment horizontal="center"/>
    </xf>
    <xf numFmtId="0" fontId="25" fillId="7" borderId="11" xfId="0" applyNumberFormat="1" applyFont="1" applyFill="1" applyBorder="1" applyAlignment="1">
      <alignment horizontal="center"/>
    </xf>
    <xf numFmtId="0" fontId="25" fillId="7" borderId="10" xfId="0" applyNumberFormat="1" applyFont="1" applyFill="1" applyBorder="1" applyAlignment="1">
      <alignment horizontal="center"/>
    </xf>
    <xf numFmtId="0" fontId="25" fillId="7" borderId="9" xfId="0" applyNumberFormat="1" applyFont="1" applyFill="1" applyBorder="1" applyAlignment="1">
      <alignment horizontal="center"/>
    </xf>
    <xf numFmtId="0" fontId="23" fillId="5" borderId="4" xfId="0" applyFont="1" applyFill="1" applyBorder="1"/>
    <xf numFmtId="0" fontId="24" fillId="5" borderId="0" xfId="0" applyFont="1" applyFill="1" applyBorder="1"/>
    <xf numFmtId="0" fontId="25" fillId="5" borderId="4" xfId="0" applyFont="1" applyFill="1" applyBorder="1" applyAlignment="1">
      <alignment horizontal="center"/>
    </xf>
    <xf numFmtId="0" fontId="24" fillId="5" borderId="2" xfId="0" applyFont="1" applyFill="1" applyBorder="1" applyAlignment="1">
      <alignment horizontal="center"/>
    </xf>
    <xf numFmtId="0" fontId="25" fillId="5" borderId="0" xfId="0" applyFont="1" applyFill="1" applyBorder="1" applyAlignment="1">
      <alignment horizontal="center"/>
    </xf>
    <xf numFmtId="0" fontId="25" fillId="5" borderId="4" xfId="0" applyNumberFormat="1" applyFont="1" applyFill="1" applyBorder="1" applyAlignment="1">
      <alignment horizontal="center"/>
    </xf>
    <xf numFmtId="0" fontId="25" fillId="5" borderId="0" xfId="0" applyNumberFormat="1" applyFont="1" applyFill="1" applyBorder="1" applyAlignment="1">
      <alignment horizontal="center"/>
    </xf>
    <xf numFmtId="0" fontId="25" fillId="5" borderId="3" xfId="0" applyNumberFormat="1" applyFont="1" applyFill="1" applyBorder="1" applyAlignment="1">
      <alignment horizontal="center"/>
    </xf>
    <xf numFmtId="0" fontId="23" fillId="7" borderId="4" xfId="0" applyFont="1" applyFill="1" applyBorder="1"/>
    <xf numFmtId="0" fontId="24" fillId="7" borderId="0" xfId="0" applyFont="1" applyFill="1" applyBorder="1"/>
    <xf numFmtId="0" fontId="25" fillId="7" borderId="4" xfId="0" applyFont="1" applyFill="1" applyBorder="1" applyAlignment="1">
      <alignment horizontal="center"/>
    </xf>
    <xf numFmtId="0" fontId="24" fillId="7" borderId="2" xfId="0" applyFont="1" applyFill="1" applyBorder="1" applyAlignment="1">
      <alignment horizontal="center"/>
    </xf>
    <xf numFmtId="0" fontId="25" fillId="7" borderId="0" xfId="0" applyFont="1" applyFill="1" applyBorder="1" applyAlignment="1">
      <alignment horizontal="center"/>
    </xf>
    <xf numFmtId="0" fontId="25" fillId="7" borderId="4" xfId="0" applyNumberFormat="1" applyFont="1" applyFill="1" applyBorder="1" applyAlignment="1">
      <alignment horizontal="center"/>
    </xf>
    <xf numFmtId="0" fontId="25" fillId="7" borderId="0" xfId="0" applyNumberFormat="1" applyFont="1" applyFill="1" applyBorder="1" applyAlignment="1">
      <alignment horizontal="center"/>
    </xf>
    <xf numFmtId="0" fontId="25" fillId="7" borderId="3" xfId="0" applyNumberFormat="1" applyFont="1" applyFill="1" applyBorder="1" applyAlignment="1">
      <alignment horizontal="center"/>
    </xf>
    <xf numFmtId="0" fontId="23" fillId="6" borderId="4" xfId="0" applyFont="1" applyFill="1" applyBorder="1"/>
    <xf numFmtId="0" fontId="24" fillId="6" borderId="0" xfId="0" applyFont="1" applyFill="1" applyBorder="1"/>
    <xf numFmtId="0" fontId="25" fillId="6" borderId="4" xfId="0" applyFont="1" applyFill="1" applyBorder="1" applyAlignment="1">
      <alignment horizontal="center"/>
    </xf>
    <xf numFmtId="0" fontId="24" fillId="6" borderId="2" xfId="0" applyFont="1" applyFill="1" applyBorder="1" applyAlignment="1">
      <alignment horizontal="center"/>
    </xf>
    <xf numFmtId="0" fontId="25" fillId="6" borderId="0" xfId="0" applyFont="1" applyFill="1" applyBorder="1" applyAlignment="1">
      <alignment horizontal="center"/>
    </xf>
    <xf numFmtId="0" fontId="25" fillId="6" borderId="4" xfId="0" applyNumberFormat="1" applyFont="1" applyFill="1" applyBorder="1" applyAlignment="1">
      <alignment horizontal="center"/>
    </xf>
    <xf numFmtId="0" fontId="25" fillId="6" borderId="0" xfId="0" applyNumberFormat="1" applyFont="1" applyFill="1" applyBorder="1" applyAlignment="1">
      <alignment horizontal="center"/>
    </xf>
    <xf numFmtId="0" fontId="25" fillId="6" borderId="3" xfId="0" applyNumberFormat="1" applyFont="1" applyFill="1" applyBorder="1" applyAlignment="1">
      <alignment horizontal="center"/>
    </xf>
    <xf numFmtId="0" fontId="23" fillId="3" borderId="4" xfId="0" applyFont="1" applyFill="1" applyBorder="1"/>
    <xf numFmtId="0" fontId="24" fillId="3" borderId="0" xfId="0" applyFont="1" applyFill="1" applyBorder="1"/>
    <xf numFmtId="0" fontId="25" fillId="3" borderId="4" xfId="0" applyFont="1" applyFill="1" applyBorder="1" applyAlignment="1">
      <alignment horizontal="center"/>
    </xf>
    <xf numFmtId="0" fontId="24" fillId="3" borderId="2" xfId="0" applyFont="1" applyFill="1" applyBorder="1" applyAlignment="1">
      <alignment horizontal="center"/>
    </xf>
    <xf numFmtId="0" fontId="25" fillId="3" borderId="0" xfId="0" applyFont="1" applyFill="1" applyBorder="1" applyAlignment="1">
      <alignment horizontal="center"/>
    </xf>
    <xf numFmtId="0" fontId="25" fillId="3" borderId="4" xfId="0" applyNumberFormat="1" applyFont="1" applyFill="1" applyBorder="1" applyAlignment="1">
      <alignment horizontal="center"/>
    </xf>
    <xf numFmtId="0" fontId="25" fillId="3" borderId="0" xfId="0" applyNumberFormat="1" applyFont="1" applyFill="1" applyBorder="1" applyAlignment="1">
      <alignment horizontal="center"/>
    </xf>
    <xf numFmtId="0" fontId="25" fillId="3" borderId="3" xfId="0" applyNumberFormat="1" applyFont="1" applyFill="1" applyBorder="1" applyAlignment="1">
      <alignment horizontal="center"/>
    </xf>
    <xf numFmtId="0" fontId="23" fillId="3" borderId="8" xfId="0" applyFont="1" applyFill="1" applyBorder="1"/>
    <xf numFmtId="0" fontId="24" fillId="3" borderId="5" xfId="0" applyFont="1" applyFill="1" applyBorder="1"/>
    <xf numFmtId="0" fontId="25" fillId="3" borderId="8" xfId="0" applyFont="1" applyFill="1" applyBorder="1" applyAlignment="1">
      <alignment horizontal="center"/>
    </xf>
    <xf numFmtId="0" fontId="24" fillId="3" borderId="6" xfId="0" applyFont="1" applyFill="1" applyBorder="1" applyAlignment="1">
      <alignment horizontal="center"/>
    </xf>
    <xf numFmtId="0" fontId="25" fillId="3" borderId="5" xfId="0" applyFont="1" applyFill="1" applyBorder="1" applyAlignment="1">
      <alignment horizontal="center"/>
    </xf>
    <xf numFmtId="0" fontId="25" fillId="3" borderId="8" xfId="0" applyNumberFormat="1" applyFont="1" applyFill="1" applyBorder="1" applyAlignment="1">
      <alignment horizontal="center"/>
    </xf>
    <xf numFmtId="0" fontId="25" fillId="3" borderId="5" xfId="0" applyNumberFormat="1" applyFont="1" applyFill="1" applyBorder="1" applyAlignment="1">
      <alignment horizontal="center"/>
    </xf>
    <xf numFmtId="0" fontId="25" fillId="3" borderId="7" xfId="0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9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strike val="0"/>
        <color rgb="FF7030A0"/>
      </font>
    </dxf>
    <dxf>
      <font>
        <color rgb="FF00B0F0"/>
      </font>
    </dxf>
    <dxf>
      <font>
        <color rgb="FF00B050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0"/>
  <sheetViews>
    <sheetView tabSelected="1" zoomScale="170" zoomScaleNormal="170" zoomScalePageLayoutView="170" workbookViewId="0">
      <selection activeCell="F16" sqref="F16"/>
    </sheetView>
  </sheetViews>
  <sheetFormatPr baseColWidth="10" defaultRowHeight="16"/>
  <cols>
    <col min="1" max="1" width="6" customWidth="1"/>
    <col min="2" max="2" width="6.5" customWidth="1"/>
    <col min="3" max="3" width="8.33203125" customWidth="1"/>
    <col min="4" max="4" width="5.33203125" customWidth="1"/>
    <col min="5" max="5" width="6.1640625" bestFit="1" customWidth="1"/>
    <col min="6" max="6" width="8" customWidth="1"/>
    <col min="7" max="7" width="7.83203125" customWidth="1"/>
    <col min="8" max="11" width="5.83203125" customWidth="1"/>
    <col min="12" max="24" width="4.83203125" customWidth="1"/>
    <col min="25" max="37" width="5.83203125" customWidth="1"/>
  </cols>
  <sheetData>
    <row r="1" spans="1:24" ht="19">
      <c r="A1" s="108" t="s">
        <v>114</v>
      </c>
      <c r="H1" s="84" t="s">
        <v>113</v>
      </c>
    </row>
    <row r="2" spans="1:24" ht="19">
      <c r="A2" s="108" t="s">
        <v>112</v>
      </c>
      <c r="H2" s="81"/>
      <c r="I2" s="81"/>
      <c r="J2" s="81"/>
      <c r="K2" s="81"/>
      <c r="L2" s="195" t="s">
        <v>90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7"/>
    </row>
    <row r="3" spans="1:24" s="81" customFormat="1" ht="17" thickBot="1">
      <c r="A3"/>
      <c r="B3"/>
      <c r="C3"/>
      <c r="D3"/>
      <c r="E3"/>
      <c r="F3"/>
      <c r="G3" s="60"/>
      <c r="H3" s="195" t="s">
        <v>87</v>
      </c>
      <c r="I3" s="196"/>
      <c r="J3" s="197"/>
      <c r="K3" s="79" t="s">
        <v>86</v>
      </c>
      <c r="L3" s="78">
        <v>30</v>
      </c>
      <c r="M3" s="77">
        <v>35</v>
      </c>
      <c r="N3" s="77">
        <v>40</v>
      </c>
      <c r="O3" s="77">
        <v>45</v>
      </c>
      <c r="P3" s="77">
        <v>50</v>
      </c>
      <c r="Q3" s="77">
        <v>55</v>
      </c>
      <c r="R3" s="77">
        <v>60</v>
      </c>
      <c r="S3" s="77">
        <v>65</v>
      </c>
      <c r="T3" s="77">
        <v>70</v>
      </c>
      <c r="U3" s="77">
        <v>75</v>
      </c>
      <c r="V3" s="77">
        <v>80</v>
      </c>
      <c r="W3" s="77">
        <v>85</v>
      </c>
      <c r="X3" s="76">
        <v>90</v>
      </c>
    </row>
    <row r="4" spans="1:24" ht="17" thickBot="1">
      <c r="A4" s="57" t="s">
        <v>109</v>
      </c>
      <c r="B4" s="63">
        <v>76</v>
      </c>
      <c r="C4" s="107" t="s">
        <v>84</v>
      </c>
      <c r="D4" s="57" t="s">
        <v>111</v>
      </c>
      <c r="E4" s="63">
        <v>84</v>
      </c>
      <c r="F4" s="107" t="s">
        <v>73</v>
      </c>
      <c r="G4" s="60"/>
      <c r="H4" s="73" t="s">
        <v>84</v>
      </c>
      <c r="I4" s="71" t="s">
        <v>83</v>
      </c>
      <c r="J4" s="72" t="s">
        <v>82</v>
      </c>
      <c r="K4" s="71" t="s">
        <v>81</v>
      </c>
      <c r="L4" s="192" t="s">
        <v>110</v>
      </c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4"/>
    </row>
    <row r="5" spans="1:24">
      <c r="A5" s="57" t="s">
        <v>109</v>
      </c>
      <c r="B5" s="82">
        <f>(B4-32)*5/9</f>
        <v>24.444444444444443</v>
      </c>
      <c r="C5" s="100" t="s">
        <v>83</v>
      </c>
      <c r="G5" s="60"/>
      <c r="H5" s="70">
        <v>60</v>
      </c>
      <c r="I5" s="69">
        <f t="shared" ref="I5:I15" si="0">(H5-32)*5/9</f>
        <v>15.555555555555555</v>
      </c>
      <c r="J5" s="68">
        <f t="shared" ref="J5:J15" si="1">I5+273.15</f>
        <v>288.70555555555552</v>
      </c>
      <c r="K5" s="67">
        <f t="shared" ref="K5:K15" si="2">6.1094 * EXP(17.625*I5 / (243.04+I5))</f>
        <v>17.637771614819428</v>
      </c>
      <c r="L5" s="103">
        <f t="shared" ref="L5:X15" si="3">$K5*(1-L$3/100)/10</f>
        <v>1.2346440130373599</v>
      </c>
      <c r="M5" s="102">
        <f t="shared" si="3"/>
        <v>1.1464551549632629</v>
      </c>
      <c r="N5" s="102">
        <f t="shared" si="3"/>
        <v>1.0582662968891656</v>
      </c>
      <c r="O5" s="102">
        <f t="shared" si="3"/>
        <v>0.97007743881506858</v>
      </c>
      <c r="P5" s="102">
        <f t="shared" si="3"/>
        <v>0.88188858074097143</v>
      </c>
      <c r="Q5" s="102">
        <f t="shared" si="3"/>
        <v>0.79369972266687427</v>
      </c>
      <c r="R5" s="102">
        <f t="shared" si="3"/>
        <v>0.70551086459277712</v>
      </c>
      <c r="S5" s="102">
        <f t="shared" si="3"/>
        <v>0.61732200651867997</v>
      </c>
      <c r="T5" s="102">
        <f t="shared" si="3"/>
        <v>0.52913314844458292</v>
      </c>
      <c r="U5" s="102">
        <f t="shared" si="3"/>
        <v>0.44094429037048571</v>
      </c>
      <c r="V5" s="102">
        <f t="shared" si="3"/>
        <v>0.3527554322963885</v>
      </c>
      <c r="W5" s="102">
        <f t="shared" si="3"/>
        <v>0.26456657422229146</v>
      </c>
      <c r="X5" s="101">
        <f t="shared" si="3"/>
        <v>0.17637771614819425</v>
      </c>
    </row>
    <row r="6" spans="1:24" ht="17" thickBot="1">
      <c r="A6" s="57" t="s">
        <v>109</v>
      </c>
      <c r="B6" s="82">
        <f>B5+273.15</f>
        <v>297.59444444444443</v>
      </c>
      <c r="C6" s="100" t="s">
        <v>82</v>
      </c>
      <c r="D6" s="57" t="s">
        <v>108</v>
      </c>
      <c r="H6" s="30">
        <v>63</v>
      </c>
      <c r="I6" s="48">
        <f t="shared" si="0"/>
        <v>17.222222222222221</v>
      </c>
      <c r="J6" s="47">
        <f t="shared" si="1"/>
        <v>290.37222222222221</v>
      </c>
      <c r="K6" s="46">
        <f t="shared" si="2"/>
        <v>19.61158096711323</v>
      </c>
      <c r="L6" s="93">
        <f t="shared" si="3"/>
        <v>1.3728106676979261</v>
      </c>
      <c r="M6" s="92">
        <f t="shared" si="3"/>
        <v>1.2747527628623601</v>
      </c>
      <c r="N6" s="92">
        <f t="shared" si="3"/>
        <v>1.1766948580267937</v>
      </c>
      <c r="O6" s="92">
        <f t="shared" si="3"/>
        <v>1.0786369531912279</v>
      </c>
      <c r="P6" s="92">
        <f t="shared" si="3"/>
        <v>0.98057904835566156</v>
      </c>
      <c r="Q6" s="92">
        <f t="shared" si="3"/>
        <v>0.88252114352009525</v>
      </c>
      <c r="R6" s="92">
        <f t="shared" si="3"/>
        <v>0.78446323868452927</v>
      </c>
      <c r="S6" s="92">
        <f t="shared" si="3"/>
        <v>0.68640533384896307</v>
      </c>
      <c r="T6" s="92">
        <f t="shared" si="3"/>
        <v>0.58834742901339698</v>
      </c>
      <c r="U6" s="92">
        <f t="shared" si="3"/>
        <v>0.49028952417783078</v>
      </c>
      <c r="V6" s="92">
        <f t="shared" si="3"/>
        <v>0.39223161934226453</v>
      </c>
      <c r="W6" s="92">
        <f t="shared" si="3"/>
        <v>0.29417371450669849</v>
      </c>
      <c r="X6" s="91">
        <f t="shared" si="3"/>
        <v>0.19611580967113226</v>
      </c>
    </row>
    <row r="7" spans="1:24" ht="17" thickBot="1">
      <c r="D7" s="57" t="s">
        <v>107</v>
      </c>
      <c r="E7" s="59">
        <f>(B8*E4)/(B11*B6) * 1000</f>
        <v>18.706527402629344</v>
      </c>
      <c r="F7" s="57" t="s">
        <v>75</v>
      </c>
      <c r="G7" s="57"/>
      <c r="H7" s="55">
        <v>66</v>
      </c>
      <c r="I7" s="54">
        <f t="shared" si="0"/>
        <v>18.888888888888889</v>
      </c>
      <c r="J7" s="53">
        <f t="shared" si="1"/>
        <v>292.03888888888889</v>
      </c>
      <c r="K7" s="52">
        <f t="shared" si="2"/>
        <v>21.776857960376351</v>
      </c>
      <c r="L7" s="97">
        <f t="shared" si="3"/>
        <v>1.5243800572263444</v>
      </c>
      <c r="M7" s="96">
        <f t="shared" si="3"/>
        <v>1.4154957674244628</v>
      </c>
      <c r="N7" s="96">
        <f t="shared" si="3"/>
        <v>1.306611477622581</v>
      </c>
      <c r="O7" s="96">
        <f t="shared" si="3"/>
        <v>1.1977271878206994</v>
      </c>
      <c r="P7" s="96">
        <f t="shared" si="3"/>
        <v>1.0888428980188176</v>
      </c>
      <c r="Q7" s="96">
        <f t="shared" si="3"/>
        <v>0.9799586082169357</v>
      </c>
      <c r="R7" s="96">
        <f t="shared" si="3"/>
        <v>0.87107431841505412</v>
      </c>
      <c r="S7" s="96">
        <f t="shared" si="3"/>
        <v>0.7621900286131722</v>
      </c>
      <c r="T7" s="96">
        <f t="shared" si="3"/>
        <v>0.65330573881129061</v>
      </c>
      <c r="U7" s="96">
        <f t="shared" si="3"/>
        <v>0.54442144900940881</v>
      </c>
      <c r="V7" s="96">
        <f t="shared" si="3"/>
        <v>0.43553715920752695</v>
      </c>
      <c r="W7" s="96">
        <f t="shared" si="3"/>
        <v>0.32665286940564531</v>
      </c>
      <c r="X7" s="95">
        <f t="shared" si="3"/>
        <v>0.21776857960376347</v>
      </c>
    </row>
    <row r="8" spans="1:24">
      <c r="A8" s="57" t="s">
        <v>86</v>
      </c>
      <c r="B8" s="82">
        <f>6.1094 * EXP(17.625*B5 / (243.04+B5))</f>
        <v>30.58513580577527</v>
      </c>
      <c r="C8" s="100" t="s">
        <v>105</v>
      </c>
      <c r="H8" s="30">
        <v>69</v>
      </c>
      <c r="I8" s="48">
        <f t="shared" si="0"/>
        <v>20.555555555555557</v>
      </c>
      <c r="J8" s="47">
        <f t="shared" si="1"/>
        <v>293.70555555555552</v>
      </c>
      <c r="K8" s="46">
        <f t="shared" si="2"/>
        <v>24.149195928655022</v>
      </c>
      <c r="L8" s="93">
        <f t="shared" si="3"/>
        <v>1.6904437150058513</v>
      </c>
      <c r="M8" s="92">
        <f t="shared" si="3"/>
        <v>1.5696977353625765</v>
      </c>
      <c r="N8" s="92">
        <f t="shared" si="3"/>
        <v>1.4489517557193012</v>
      </c>
      <c r="O8" s="92">
        <f t="shared" si="3"/>
        <v>1.3282057760760264</v>
      </c>
      <c r="P8" s="92">
        <f t="shared" si="3"/>
        <v>1.2074597964327511</v>
      </c>
      <c r="Q8" s="92">
        <f t="shared" si="3"/>
        <v>1.0867138167894759</v>
      </c>
      <c r="R8" s="92">
        <f t="shared" si="3"/>
        <v>0.96596783714620094</v>
      </c>
      <c r="S8" s="92">
        <f t="shared" si="3"/>
        <v>0.84522185750292567</v>
      </c>
      <c r="T8" s="92">
        <f t="shared" si="3"/>
        <v>0.72447587785965073</v>
      </c>
      <c r="U8" s="92">
        <f t="shared" si="3"/>
        <v>0.60372989821637557</v>
      </c>
      <c r="V8" s="92">
        <f t="shared" si="3"/>
        <v>0.48298391857310036</v>
      </c>
      <c r="W8" s="92">
        <f t="shared" si="3"/>
        <v>0.36223793892982536</v>
      </c>
      <c r="X8" s="91">
        <f t="shared" si="3"/>
        <v>0.24149195928655018</v>
      </c>
    </row>
    <row r="9" spans="1:24" ht="17" thickBot="1">
      <c r="A9" s="57" t="s">
        <v>106</v>
      </c>
      <c r="B9" s="82">
        <f>B8*E4/100</f>
        <v>25.691514076851227</v>
      </c>
      <c r="C9" s="100" t="s">
        <v>105</v>
      </c>
      <c r="D9" s="57" t="s">
        <v>104</v>
      </c>
      <c r="E9" s="57"/>
      <c r="F9" s="57"/>
      <c r="G9" s="60"/>
      <c r="H9" s="55">
        <v>72</v>
      </c>
      <c r="I9" s="54">
        <f t="shared" si="0"/>
        <v>22.222222222222221</v>
      </c>
      <c r="J9" s="53">
        <f t="shared" si="1"/>
        <v>295.37222222222221</v>
      </c>
      <c r="K9" s="52">
        <f t="shared" si="2"/>
        <v>26.745197938679713</v>
      </c>
      <c r="L9" s="97">
        <f t="shared" si="3"/>
        <v>1.8721638557075799</v>
      </c>
      <c r="M9" s="96">
        <f t="shared" si="3"/>
        <v>1.7384378660141813</v>
      </c>
      <c r="N9" s="96">
        <f t="shared" si="3"/>
        <v>1.6047118763207826</v>
      </c>
      <c r="O9" s="96">
        <f t="shared" si="3"/>
        <v>1.4709858866273842</v>
      </c>
      <c r="P9" s="96">
        <f t="shared" si="3"/>
        <v>1.3372598969339857</v>
      </c>
      <c r="Q9" s="96">
        <f t="shared" si="3"/>
        <v>1.2035339072405871</v>
      </c>
      <c r="R9" s="96">
        <f t="shared" si="3"/>
        <v>1.0698079175471886</v>
      </c>
      <c r="S9" s="96">
        <f t="shared" si="3"/>
        <v>0.93608192785378996</v>
      </c>
      <c r="T9" s="96">
        <f t="shared" si="3"/>
        <v>0.80235593816039152</v>
      </c>
      <c r="U9" s="96">
        <f t="shared" si="3"/>
        <v>0.66862994846699286</v>
      </c>
      <c r="V9" s="96">
        <f t="shared" si="3"/>
        <v>0.53490395877359409</v>
      </c>
      <c r="W9" s="96">
        <f t="shared" si="3"/>
        <v>0.40117796908019576</v>
      </c>
      <c r="X9" s="95">
        <f t="shared" si="3"/>
        <v>0.26745197938679705</v>
      </c>
    </row>
    <row r="10" spans="1:24" ht="17" thickBot="1">
      <c r="D10" s="57" t="s">
        <v>103</v>
      </c>
      <c r="E10" s="58">
        <f>(B8-B9)/10</f>
        <v>0.48936217289240425</v>
      </c>
      <c r="F10" s="57" t="s">
        <v>71</v>
      </c>
      <c r="G10" s="57"/>
      <c r="H10" s="30">
        <v>75</v>
      </c>
      <c r="I10" s="48">
        <f t="shared" si="0"/>
        <v>23.888888888888889</v>
      </c>
      <c r="J10" s="47">
        <f t="shared" si="1"/>
        <v>297.03888888888889</v>
      </c>
      <c r="K10" s="46">
        <f t="shared" si="2"/>
        <v>29.582523147763734</v>
      </c>
      <c r="L10" s="93">
        <f t="shared" si="3"/>
        <v>2.0707766203434614</v>
      </c>
      <c r="M10" s="92">
        <f t="shared" si="3"/>
        <v>1.922864004604643</v>
      </c>
      <c r="N10" s="92">
        <f t="shared" si="3"/>
        <v>1.7749513888658239</v>
      </c>
      <c r="O10" s="92">
        <f t="shared" si="3"/>
        <v>1.6270387731270055</v>
      </c>
      <c r="P10" s="92">
        <f t="shared" si="3"/>
        <v>1.4791261573881866</v>
      </c>
      <c r="Q10" s="92">
        <f t="shared" si="3"/>
        <v>1.3312135416493678</v>
      </c>
      <c r="R10" s="92">
        <f t="shared" si="3"/>
        <v>1.1833009259105496</v>
      </c>
      <c r="S10" s="92">
        <f t="shared" si="3"/>
        <v>1.0353883101717307</v>
      </c>
      <c r="T10" s="92">
        <f t="shared" si="3"/>
        <v>0.88747569443291208</v>
      </c>
      <c r="U10" s="92">
        <f t="shared" si="3"/>
        <v>0.73956307869409332</v>
      </c>
      <c r="V10" s="92">
        <f t="shared" si="3"/>
        <v>0.59165046295527457</v>
      </c>
      <c r="W10" s="92">
        <f t="shared" si="3"/>
        <v>0.44373784721645604</v>
      </c>
      <c r="X10" s="91">
        <f t="shared" si="3"/>
        <v>0.29582523147763728</v>
      </c>
    </row>
    <row r="11" spans="1:24">
      <c r="A11" s="57" t="s">
        <v>102</v>
      </c>
      <c r="B11" s="94">
        <v>461.5</v>
      </c>
      <c r="C11" s="99" t="s">
        <v>101</v>
      </c>
      <c r="H11" s="55">
        <v>78</v>
      </c>
      <c r="I11" s="54">
        <f t="shared" si="0"/>
        <v>25.555555555555557</v>
      </c>
      <c r="J11" s="53">
        <f t="shared" si="1"/>
        <v>298.70555555555552</v>
      </c>
      <c r="K11" s="52">
        <f t="shared" si="2"/>
        <v>32.679934169318564</v>
      </c>
      <c r="L11" s="97">
        <f t="shared" si="3"/>
        <v>2.2875953918522991</v>
      </c>
      <c r="M11" s="96">
        <f t="shared" si="3"/>
        <v>2.1241957210057065</v>
      </c>
      <c r="N11" s="96">
        <f t="shared" si="3"/>
        <v>1.9607960501591137</v>
      </c>
      <c r="O11" s="96">
        <f t="shared" si="3"/>
        <v>1.7973963793125212</v>
      </c>
      <c r="P11" s="96">
        <f t="shared" si="3"/>
        <v>1.6339967084659281</v>
      </c>
      <c r="Q11" s="96">
        <f t="shared" si="3"/>
        <v>1.4705970376193354</v>
      </c>
      <c r="R11" s="96">
        <f t="shared" si="3"/>
        <v>1.3071973667727428</v>
      </c>
      <c r="S11" s="96">
        <f t="shared" si="3"/>
        <v>1.1437976959261495</v>
      </c>
      <c r="T11" s="96">
        <f t="shared" si="3"/>
        <v>0.98039802507955698</v>
      </c>
      <c r="U11" s="96">
        <f t="shared" si="3"/>
        <v>0.81699835423296407</v>
      </c>
      <c r="V11" s="96">
        <f t="shared" si="3"/>
        <v>0.65359868338637117</v>
      </c>
      <c r="W11" s="96">
        <f t="shared" si="3"/>
        <v>0.49019901253977849</v>
      </c>
      <c r="X11" s="95">
        <f t="shared" si="3"/>
        <v>0.32679934169318559</v>
      </c>
    </row>
    <row r="12" spans="1:24" ht="17" thickBot="1">
      <c r="H12" s="30">
        <v>81</v>
      </c>
      <c r="I12" s="48">
        <f t="shared" si="0"/>
        <v>27.222222222222221</v>
      </c>
      <c r="J12" s="47">
        <f t="shared" si="1"/>
        <v>300.37222222222221</v>
      </c>
      <c r="K12" s="46">
        <f t="shared" si="2"/>
        <v>36.057345415838697</v>
      </c>
      <c r="L12" s="93">
        <f t="shared" si="3"/>
        <v>2.5240141791087085</v>
      </c>
      <c r="M12" s="92">
        <f t="shared" si="3"/>
        <v>2.3437274520295155</v>
      </c>
      <c r="N12" s="92">
        <f t="shared" si="3"/>
        <v>2.1634407249503216</v>
      </c>
      <c r="O12" s="92">
        <f t="shared" si="3"/>
        <v>1.9831539978711283</v>
      </c>
      <c r="P12" s="92">
        <f t="shared" si="3"/>
        <v>1.8028672707919349</v>
      </c>
      <c r="Q12" s="92">
        <f t="shared" si="3"/>
        <v>1.6225805437127412</v>
      </c>
      <c r="R12" s="92">
        <f t="shared" si="3"/>
        <v>1.4422938166335479</v>
      </c>
      <c r="S12" s="92">
        <f t="shared" si="3"/>
        <v>1.2620070895543543</v>
      </c>
      <c r="T12" s="92">
        <f t="shared" si="3"/>
        <v>1.0817203624751612</v>
      </c>
      <c r="U12" s="92">
        <f t="shared" si="3"/>
        <v>0.90143363539596744</v>
      </c>
      <c r="V12" s="92">
        <f t="shared" si="3"/>
        <v>0.72114690831677375</v>
      </c>
      <c r="W12" s="92">
        <f t="shared" si="3"/>
        <v>0.54086018123758062</v>
      </c>
      <c r="X12" s="91">
        <f t="shared" si="3"/>
        <v>0.36057345415838687</v>
      </c>
    </row>
    <row r="13" spans="1:24" ht="17" thickBot="1">
      <c r="A13" s="63" t="s">
        <v>98</v>
      </c>
      <c r="B13" s="98" t="s">
        <v>100</v>
      </c>
      <c r="H13" s="55">
        <v>84</v>
      </c>
      <c r="I13" s="54">
        <f t="shared" si="0"/>
        <v>28.888888888888889</v>
      </c>
      <c r="J13" s="53">
        <f t="shared" si="1"/>
        <v>302.03888888888889</v>
      </c>
      <c r="K13" s="52">
        <f t="shared" si="2"/>
        <v>39.735872387167746</v>
      </c>
      <c r="L13" s="97">
        <f t="shared" si="3"/>
        <v>2.781511067101742</v>
      </c>
      <c r="M13" s="96">
        <f t="shared" si="3"/>
        <v>2.5828317051659035</v>
      </c>
      <c r="N13" s="96">
        <f t="shared" si="3"/>
        <v>2.3841523432300646</v>
      </c>
      <c r="O13" s="96">
        <f t="shared" si="3"/>
        <v>2.1854729812942262</v>
      </c>
      <c r="P13" s="96">
        <f t="shared" si="3"/>
        <v>1.9867936193583873</v>
      </c>
      <c r="Q13" s="96">
        <f t="shared" si="3"/>
        <v>1.7881142574225486</v>
      </c>
      <c r="R13" s="96">
        <f t="shared" si="3"/>
        <v>1.5894348954867099</v>
      </c>
      <c r="S13" s="96">
        <f t="shared" si="3"/>
        <v>1.390755533550871</v>
      </c>
      <c r="T13" s="96">
        <f t="shared" si="3"/>
        <v>1.1920761716150325</v>
      </c>
      <c r="U13" s="96">
        <f t="shared" si="3"/>
        <v>0.99339680967919364</v>
      </c>
      <c r="V13" s="96">
        <f t="shared" si="3"/>
        <v>0.79471744774335473</v>
      </c>
      <c r="W13" s="96">
        <f t="shared" si="3"/>
        <v>0.59603808580751627</v>
      </c>
      <c r="X13" s="95">
        <f t="shared" si="3"/>
        <v>0.39735872387167737</v>
      </c>
    </row>
    <row r="14" spans="1:24" ht="17" thickBot="1">
      <c r="A14" s="94" t="s">
        <v>98</v>
      </c>
      <c r="B14" s="90" t="s">
        <v>99</v>
      </c>
      <c r="H14" s="30">
        <v>87</v>
      </c>
      <c r="I14" s="48">
        <f t="shared" si="0"/>
        <v>30.555555555555557</v>
      </c>
      <c r="J14" s="47">
        <f t="shared" si="1"/>
        <v>303.70555555555552</v>
      </c>
      <c r="K14" s="46">
        <f t="shared" si="2"/>
        <v>43.73788186988601</v>
      </c>
      <c r="L14" s="93">
        <f t="shared" si="3"/>
        <v>3.0616517308920206</v>
      </c>
      <c r="M14" s="92">
        <f t="shared" si="3"/>
        <v>2.8429623215425908</v>
      </c>
      <c r="N14" s="92">
        <f t="shared" si="3"/>
        <v>2.6242729121931605</v>
      </c>
      <c r="O14" s="92">
        <f t="shared" si="3"/>
        <v>2.4055835028437307</v>
      </c>
      <c r="P14" s="92">
        <f t="shared" si="3"/>
        <v>2.1868940934943004</v>
      </c>
      <c r="Q14" s="92">
        <f t="shared" si="3"/>
        <v>1.9682046841448702</v>
      </c>
      <c r="R14" s="92">
        <f t="shared" si="3"/>
        <v>1.7495152747954403</v>
      </c>
      <c r="S14" s="92">
        <f t="shared" si="3"/>
        <v>1.5308258654460103</v>
      </c>
      <c r="T14" s="92">
        <f t="shared" si="3"/>
        <v>1.3121364560965805</v>
      </c>
      <c r="U14" s="92">
        <f t="shared" si="3"/>
        <v>1.0934470467471502</v>
      </c>
      <c r="V14" s="92">
        <f t="shared" si="3"/>
        <v>0.87475763739771994</v>
      </c>
      <c r="W14" s="92">
        <f t="shared" si="3"/>
        <v>0.65606822804829024</v>
      </c>
      <c r="X14" s="91">
        <f t="shared" si="3"/>
        <v>0.43737881869885997</v>
      </c>
    </row>
    <row r="15" spans="1:24" ht="17" thickBot="1">
      <c r="A15" s="59" t="s">
        <v>98</v>
      </c>
      <c r="B15" s="90" t="s">
        <v>97</v>
      </c>
      <c r="H15" s="38">
        <v>90</v>
      </c>
      <c r="I15" s="37">
        <f t="shared" si="0"/>
        <v>32.222222222222221</v>
      </c>
      <c r="J15" s="36">
        <f t="shared" si="1"/>
        <v>305.37222222222221</v>
      </c>
      <c r="K15" s="35">
        <f t="shared" si="2"/>
        <v>48.087043011762269</v>
      </c>
      <c r="L15" s="89">
        <f t="shared" si="3"/>
        <v>3.3660930108233584</v>
      </c>
      <c r="M15" s="88">
        <f t="shared" si="3"/>
        <v>3.1256577957645475</v>
      </c>
      <c r="N15" s="88">
        <f t="shared" si="3"/>
        <v>2.8852225807057357</v>
      </c>
      <c r="O15" s="88">
        <f t="shared" si="3"/>
        <v>2.6447873656469252</v>
      </c>
      <c r="P15" s="88">
        <f t="shared" si="3"/>
        <v>2.4043521505881134</v>
      </c>
      <c r="Q15" s="88">
        <f t="shared" si="3"/>
        <v>2.1639169355293015</v>
      </c>
      <c r="R15" s="88">
        <f t="shared" si="3"/>
        <v>1.923481720470491</v>
      </c>
      <c r="S15" s="88">
        <f t="shared" si="3"/>
        <v>1.6830465054116792</v>
      </c>
      <c r="T15" s="88">
        <f t="shared" si="3"/>
        <v>1.4426112903528683</v>
      </c>
      <c r="U15" s="88">
        <f t="shared" si="3"/>
        <v>1.2021760752940567</v>
      </c>
      <c r="V15" s="88">
        <f t="shared" si="3"/>
        <v>0.96174086023524519</v>
      </c>
      <c r="W15" s="88">
        <f t="shared" si="3"/>
        <v>0.72130564517643414</v>
      </c>
      <c r="X15" s="87">
        <f t="shared" si="3"/>
        <v>0.48087043011762259</v>
      </c>
    </row>
    <row r="16" spans="1:24">
      <c r="W16" s="86" t="s">
        <v>96</v>
      </c>
    </row>
    <row r="17" spans="1:24">
      <c r="W17" s="85" t="s">
        <v>95</v>
      </c>
    </row>
    <row r="18" spans="1:24">
      <c r="A18" s="81" t="s">
        <v>94</v>
      </c>
      <c r="W18" s="83" t="s">
        <v>92</v>
      </c>
    </row>
    <row r="19" spans="1:24" ht="19">
      <c r="A19" s="60" t="s">
        <v>89</v>
      </c>
      <c r="D19" s="82">
        <f>4*4*80/12</f>
        <v>106.66666666666667</v>
      </c>
      <c r="E19" s="60" t="s">
        <v>91</v>
      </c>
      <c r="H19" s="84" t="s">
        <v>93</v>
      </c>
      <c r="X19" s="74"/>
    </row>
    <row r="20" spans="1:24" s="74" customFormat="1">
      <c r="A20" s="60" t="s">
        <v>89</v>
      </c>
      <c r="B20"/>
      <c r="D20" s="75">
        <f>D19*(0.3048^3)</f>
        <v>3.0204636364800006</v>
      </c>
      <c r="E20" s="60" t="s">
        <v>88</v>
      </c>
      <c r="F20"/>
      <c r="H20" s="81"/>
      <c r="I20" s="81"/>
      <c r="J20" s="81"/>
      <c r="K20" s="81"/>
      <c r="L20" s="195" t="s">
        <v>90</v>
      </c>
      <c r="M20" s="196"/>
      <c r="N20" s="196"/>
      <c r="O20" s="196"/>
      <c r="P20" s="196"/>
      <c r="Q20" s="196"/>
      <c r="R20" s="196"/>
      <c r="S20" s="197"/>
      <c r="X20"/>
    </row>
    <row r="21" spans="1:24">
      <c r="A21" t="s">
        <v>85</v>
      </c>
      <c r="D21" s="75">
        <f>E7*D20</f>
        <v>56.50238578445861</v>
      </c>
      <c r="E21" s="60" t="s">
        <v>78</v>
      </c>
      <c r="F21" s="74"/>
      <c r="H21" s="195" t="s">
        <v>87</v>
      </c>
      <c r="I21" s="196"/>
      <c r="J21" s="197"/>
      <c r="K21" s="79" t="s">
        <v>86</v>
      </c>
      <c r="L21" s="78">
        <v>30</v>
      </c>
      <c r="M21" s="77">
        <v>40</v>
      </c>
      <c r="N21" s="77">
        <v>50</v>
      </c>
      <c r="O21" s="77">
        <v>60</v>
      </c>
      <c r="P21" s="77">
        <v>70</v>
      </c>
      <c r="Q21" s="77">
        <v>80</v>
      </c>
      <c r="R21" s="77">
        <v>90</v>
      </c>
      <c r="S21" s="76">
        <v>100</v>
      </c>
    </row>
    <row r="22" spans="1:24" ht="17" thickBot="1">
      <c r="D22" s="62"/>
      <c r="H22" s="73" t="s">
        <v>84</v>
      </c>
      <c r="I22" s="71" t="s">
        <v>83</v>
      </c>
      <c r="J22" s="72" t="s">
        <v>82</v>
      </c>
      <c r="K22" s="71" t="s">
        <v>81</v>
      </c>
      <c r="L22" s="198" t="s">
        <v>80</v>
      </c>
      <c r="M22" s="199"/>
      <c r="N22" s="199"/>
      <c r="O22" s="199"/>
      <c r="P22" s="199"/>
      <c r="Q22" s="199"/>
      <c r="R22" s="199"/>
      <c r="S22" s="200"/>
    </row>
    <row r="23" spans="1:24" ht="17" thickBot="1">
      <c r="A23" t="s">
        <v>79</v>
      </c>
      <c r="D23" s="63">
        <v>10</v>
      </c>
      <c r="E23" s="57" t="s">
        <v>78</v>
      </c>
      <c r="F23" s="56" t="s">
        <v>77</v>
      </c>
      <c r="H23" s="70">
        <v>60</v>
      </c>
      <c r="I23" s="69">
        <f t="shared" ref="I23:I33" si="4">(H23-32)*5/9</f>
        <v>15.555555555555555</v>
      </c>
      <c r="J23" s="68">
        <f t="shared" ref="J23:J33" si="5">I23+273.15</f>
        <v>288.70555555555552</v>
      </c>
      <c r="K23" s="67">
        <f t="shared" ref="K23:K33" si="6">6.1094 * EXP(17.625*I23 / (243.04+I23))</f>
        <v>17.637771614819428</v>
      </c>
      <c r="L23" s="66">
        <f t="shared" ref="L23:S33" si="7">($K23*L$21)/($M$34*$J23)*1000</f>
        <v>3.9713496286855148</v>
      </c>
      <c r="M23" s="65">
        <f t="shared" si="7"/>
        <v>5.295132838247353</v>
      </c>
      <c r="N23" s="65">
        <f t="shared" si="7"/>
        <v>6.6189160478091917</v>
      </c>
      <c r="O23" s="65">
        <f t="shared" si="7"/>
        <v>7.9426992573710296</v>
      </c>
      <c r="P23" s="65">
        <f t="shared" si="7"/>
        <v>9.2664824669328674</v>
      </c>
      <c r="Q23" s="65">
        <f t="shared" si="7"/>
        <v>10.590265676494706</v>
      </c>
      <c r="R23" s="65">
        <f t="shared" si="7"/>
        <v>11.914048886056547</v>
      </c>
      <c r="S23" s="64">
        <f t="shared" si="7"/>
        <v>13.237832095618383</v>
      </c>
    </row>
    <row r="24" spans="1:24">
      <c r="D24" s="62"/>
      <c r="H24" s="30">
        <v>63</v>
      </c>
      <c r="I24" s="48">
        <f t="shared" si="4"/>
        <v>17.222222222222221</v>
      </c>
      <c r="J24" s="47">
        <f t="shared" si="5"/>
        <v>290.37222222222221</v>
      </c>
      <c r="K24" s="46">
        <f t="shared" si="6"/>
        <v>19.61158096711323</v>
      </c>
      <c r="L24" s="45">
        <f t="shared" si="7"/>
        <v>4.3904302944542737</v>
      </c>
      <c r="M24" s="44">
        <f t="shared" si="7"/>
        <v>5.8539070592723643</v>
      </c>
      <c r="N24" s="44">
        <f t="shared" si="7"/>
        <v>7.3173838240904558</v>
      </c>
      <c r="O24" s="44">
        <f t="shared" si="7"/>
        <v>8.7808605889085474</v>
      </c>
      <c r="P24" s="44">
        <f t="shared" si="7"/>
        <v>10.244337353726639</v>
      </c>
      <c r="Q24" s="44">
        <f t="shared" si="7"/>
        <v>11.707814118544729</v>
      </c>
      <c r="R24" s="44">
        <f t="shared" si="7"/>
        <v>13.17129088336282</v>
      </c>
      <c r="S24" s="43">
        <f t="shared" si="7"/>
        <v>14.634767648180912</v>
      </c>
    </row>
    <row r="25" spans="1:24" ht="17" thickBot="1">
      <c r="B25" s="60" t="s">
        <v>76</v>
      </c>
      <c r="D25" s="61">
        <f>(D21-D23)/D20</f>
        <v>15.395777397489789</v>
      </c>
      <c r="E25" s="60" t="s">
        <v>75</v>
      </c>
      <c r="H25" s="55">
        <v>66</v>
      </c>
      <c r="I25" s="54">
        <f t="shared" si="4"/>
        <v>18.888888888888889</v>
      </c>
      <c r="J25" s="53">
        <f t="shared" si="5"/>
        <v>292.03888888888889</v>
      </c>
      <c r="K25" s="52">
        <f t="shared" si="6"/>
        <v>21.776857960376351</v>
      </c>
      <c r="L25" s="51">
        <f t="shared" si="7"/>
        <v>4.8473466688689069</v>
      </c>
      <c r="M25" s="50">
        <f t="shared" si="7"/>
        <v>6.4631288918252094</v>
      </c>
      <c r="N25" s="50">
        <f t="shared" si="7"/>
        <v>8.078911114781512</v>
      </c>
      <c r="O25" s="50">
        <f t="shared" si="7"/>
        <v>9.6946933377378137</v>
      </c>
      <c r="P25" s="50">
        <f t="shared" si="7"/>
        <v>11.310475560694115</v>
      </c>
      <c r="Q25" s="50">
        <f t="shared" si="7"/>
        <v>12.926257783650419</v>
      </c>
      <c r="R25" s="50">
        <f t="shared" si="7"/>
        <v>14.542040006606721</v>
      </c>
      <c r="S25" s="49">
        <f t="shared" si="7"/>
        <v>16.157822229563024</v>
      </c>
    </row>
    <row r="26" spans="1:24" ht="17" thickBot="1">
      <c r="B26" s="57" t="s">
        <v>74</v>
      </c>
      <c r="D26" s="59">
        <f>D25/1000*B11*B6/B8</f>
        <v>69.133371125170299</v>
      </c>
      <c r="E26" s="57" t="s">
        <v>73</v>
      </c>
      <c r="H26" s="30">
        <v>69</v>
      </c>
      <c r="I26" s="48">
        <f t="shared" si="4"/>
        <v>20.555555555555557</v>
      </c>
      <c r="J26" s="47">
        <f t="shared" si="5"/>
        <v>293.70555555555552</v>
      </c>
      <c r="K26" s="46">
        <f t="shared" si="6"/>
        <v>24.149195928655022</v>
      </c>
      <c r="L26" s="45">
        <f t="shared" si="7"/>
        <v>5.3449058920229984</v>
      </c>
      <c r="M26" s="44">
        <f t="shared" si="7"/>
        <v>7.1265411893639987</v>
      </c>
      <c r="N26" s="44">
        <f t="shared" si="7"/>
        <v>8.9081764867049991</v>
      </c>
      <c r="O26" s="44">
        <f t="shared" si="7"/>
        <v>10.689811784045997</v>
      </c>
      <c r="P26" s="44">
        <f t="shared" si="7"/>
        <v>12.471447081386998</v>
      </c>
      <c r="Q26" s="44">
        <f t="shared" si="7"/>
        <v>14.253082378727997</v>
      </c>
      <c r="R26" s="44">
        <f t="shared" si="7"/>
        <v>16.034717676068997</v>
      </c>
      <c r="S26" s="43">
        <f t="shared" si="7"/>
        <v>17.816352973409998</v>
      </c>
    </row>
    <row r="27" spans="1:24" ht="17" thickBot="1">
      <c r="B27" s="57" t="s">
        <v>72</v>
      </c>
      <c r="D27" s="58">
        <f>(B8-(B8*D26/100))/10</f>
        <v>0.94406003600313082</v>
      </c>
      <c r="E27" s="57" t="s">
        <v>71</v>
      </c>
      <c r="H27" s="55">
        <v>72</v>
      </c>
      <c r="I27" s="54">
        <f t="shared" si="4"/>
        <v>22.222222222222221</v>
      </c>
      <c r="J27" s="53">
        <f t="shared" si="5"/>
        <v>295.37222222222221</v>
      </c>
      <c r="K27" s="52">
        <f t="shared" si="6"/>
        <v>26.745197938679713</v>
      </c>
      <c r="L27" s="51">
        <f t="shared" si="7"/>
        <v>5.886073967381483</v>
      </c>
      <c r="M27" s="50">
        <f t="shared" si="7"/>
        <v>7.8480986231753116</v>
      </c>
      <c r="N27" s="50">
        <f t="shared" si="7"/>
        <v>9.8101232789691384</v>
      </c>
      <c r="O27" s="50">
        <f t="shared" si="7"/>
        <v>11.772147934762966</v>
      </c>
      <c r="P27" s="50">
        <f t="shared" si="7"/>
        <v>13.734172590556794</v>
      </c>
      <c r="Q27" s="50">
        <f t="shared" si="7"/>
        <v>15.696197246350623</v>
      </c>
      <c r="R27" s="50">
        <f t="shared" si="7"/>
        <v>17.658221902144451</v>
      </c>
      <c r="S27" s="49">
        <f t="shared" si="7"/>
        <v>19.620246557938277</v>
      </c>
    </row>
    <row r="28" spans="1:24">
      <c r="H28" s="30">
        <v>75</v>
      </c>
      <c r="I28" s="48">
        <f t="shared" si="4"/>
        <v>23.888888888888889</v>
      </c>
      <c r="J28" s="47">
        <f t="shared" si="5"/>
        <v>297.03888888888889</v>
      </c>
      <c r="K28" s="46">
        <f t="shared" si="6"/>
        <v>29.582523147763734</v>
      </c>
      <c r="L28" s="45">
        <f t="shared" si="7"/>
        <v>6.4739814501035235</v>
      </c>
      <c r="M28" s="44">
        <f t="shared" si="7"/>
        <v>8.6319752668046963</v>
      </c>
      <c r="N28" s="44">
        <f t="shared" si="7"/>
        <v>10.78996908350587</v>
      </c>
      <c r="O28" s="44">
        <f t="shared" si="7"/>
        <v>12.947962900207047</v>
      </c>
      <c r="P28" s="44">
        <f t="shared" si="7"/>
        <v>15.105956716908219</v>
      </c>
      <c r="Q28" s="44">
        <f t="shared" si="7"/>
        <v>17.263950533609393</v>
      </c>
      <c r="R28" s="44">
        <f t="shared" si="7"/>
        <v>19.421944350310568</v>
      </c>
      <c r="S28" s="43">
        <f t="shared" si="7"/>
        <v>21.57993816701174</v>
      </c>
    </row>
    <row r="29" spans="1:24">
      <c r="A29" s="56" t="s">
        <v>70</v>
      </c>
      <c r="H29" s="55">
        <v>78</v>
      </c>
      <c r="I29" s="54">
        <f t="shared" si="4"/>
        <v>25.555555555555557</v>
      </c>
      <c r="J29" s="53">
        <f t="shared" si="5"/>
        <v>298.70555555555552</v>
      </c>
      <c r="K29" s="52">
        <f t="shared" si="6"/>
        <v>32.679934169318564</v>
      </c>
      <c r="L29" s="51">
        <f t="shared" si="7"/>
        <v>7.1119291642142626</v>
      </c>
      <c r="M29" s="50">
        <f t="shared" si="7"/>
        <v>9.4825722189523489</v>
      </c>
      <c r="N29" s="50">
        <f t="shared" si="7"/>
        <v>11.853215273690436</v>
      </c>
      <c r="O29" s="50">
        <f t="shared" si="7"/>
        <v>14.223858328428525</v>
      </c>
      <c r="P29" s="50">
        <f t="shared" si="7"/>
        <v>16.594501383166612</v>
      </c>
      <c r="Q29" s="50">
        <f t="shared" si="7"/>
        <v>18.965144437904698</v>
      </c>
      <c r="R29" s="50">
        <f t="shared" si="7"/>
        <v>21.335787492642787</v>
      </c>
      <c r="S29" s="49">
        <f t="shared" si="7"/>
        <v>23.706430547380872</v>
      </c>
    </row>
    <row r="30" spans="1:24">
      <c r="H30" s="30">
        <v>81</v>
      </c>
      <c r="I30" s="48">
        <f t="shared" si="4"/>
        <v>27.222222222222221</v>
      </c>
      <c r="J30" s="47">
        <f t="shared" si="5"/>
        <v>300.37222222222221</v>
      </c>
      <c r="K30" s="46">
        <f t="shared" si="6"/>
        <v>36.057345415838697</v>
      </c>
      <c r="L30" s="45">
        <f t="shared" si="7"/>
        <v>7.803393940980575</v>
      </c>
      <c r="M30" s="44">
        <f t="shared" si="7"/>
        <v>10.404525254640767</v>
      </c>
      <c r="N30" s="44">
        <f t="shared" si="7"/>
        <v>13.005656568300957</v>
      </c>
      <c r="O30" s="44">
        <f t="shared" si="7"/>
        <v>15.60678788196115</v>
      </c>
      <c r="P30" s="44">
        <f t="shared" si="7"/>
        <v>18.20791919562134</v>
      </c>
      <c r="Q30" s="44">
        <f t="shared" si="7"/>
        <v>20.809050509281533</v>
      </c>
      <c r="R30" s="44">
        <f t="shared" si="7"/>
        <v>23.41018182294172</v>
      </c>
      <c r="S30" s="43">
        <f t="shared" si="7"/>
        <v>26.011313136601913</v>
      </c>
    </row>
    <row r="31" spans="1:24">
      <c r="H31" s="55">
        <v>84</v>
      </c>
      <c r="I31" s="54">
        <f t="shared" si="4"/>
        <v>28.888888888888889</v>
      </c>
      <c r="J31" s="53">
        <f t="shared" si="5"/>
        <v>302.03888888888889</v>
      </c>
      <c r="K31" s="52">
        <f t="shared" si="6"/>
        <v>39.735872387167746</v>
      </c>
      <c r="L31" s="51">
        <f t="shared" si="7"/>
        <v>8.5520343707441793</v>
      </c>
      <c r="M31" s="50">
        <f t="shared" si="7"/>
        <v>11.402712494325572</v>
      </c>
      <c r="N31" s="50">
        <f t="shared" si="7"/>
        <v>14.253390617906966</v>
      </c>
      <c r="O31" s="50">
        <f t="shared" si="7"/>
        <v>17.104068741488359</v>
      </c>
      <c r="P31" s="50">
        <f t="shared" si="7"/>
        <v>19.954746865069755</v>
      </c>
      <c r="Q31" s="50">
        <f t="shared" si="7"/>
        <v>22.805424988651144</v>
      </c>
      <c r="R31" s="50">
        <f t="shared" si="7"/>
        <v>25.656103112232536</v>
      </c>
      <c r="S31" s="49">
        <f t="shared" si="7"/>
        <v>28.506781235813932</v>
      </c>
    </row>
    <row r="32" spans="1:24">
      <c r="A32" s="42" t="s">
        <v>69</v>
      </c>
      <c r="B32" s="41"/>
      <c r="C32" s="40"/>
      <c r="D32" s="40"/>
      <c r="E32" s="40"/>
      <c r="F32" s="39"/>
      <c r="H32" s="30">
        <v>87</v>
      </c>
      <c r="I32" s="48">
        <f t="shared" si="4"/>
        <v>30.555555555555557</v>
      </c>
      <c r="J32" s="47">
        <f t="shared" si="5"/>
        <v>303.70555555555552</v>
      </c>
      <c r="K32" s="46">
        <f t="shared" si="6"/>
        <v>43.73788186988601</v>
      </c>
      <c r="L32" s="45">
        <f t="shared" si="7"/>
        <v>9.3616965603835691</v>
      </c>
      <c r="M32" s="44">
        <f t="shared" si="7"/>
        <v>12.482262080511425</v>
      </c>
      <c r="N32" s="44">
        <f t="shared" si="7"/>
        <v>15.602827600639284</v>
      </c>
      <c r="O32" s="44">
        <f t="shared" si="7"/>
        <v>18.723393120767138</v>
      </c>
      <c r="P32" s="44">
        <f t="shared" si="7"/>
        <v>21.843958640894993</v>
      </c>
      <c r="Q32" s="44">
        <f t="shared" si="7"/>
        <v>24.964524161022851</v>
      </c>
      <c r="R32" s="44">
        <f t="shared" si="7"/>
        <v>28.085089681150706</v>
      </c>
      <c r="S32" s="43">
        <f t="shared" si="7"/>
        <v>31.205655201278567</v>
      </c>
    </row>
    <row r="33" spans="1:24">
      <c r="A33" s="30" t="s">
        <v>68</v>
      </c>
      <c r="B33" s="28"/>
      <c r="C33" s="29"/>
      <c r="D33" s="28"/>
      <c r="E33" s="28"/>
      <c r="F33" s="27"/>
      <c r="H33" s="38">
        <v>90</v>
      </c>
      <c r="I33" s="37">
        <f t="shared" si="4"/>
        <v>32.222222222222221</v>
      </c>
      <c r="J33" s="36">
        <f t="shared" si="5"/>
        <v>305.37222222222221</v>
      </c>
      <c r="K33" s="35">
        <f t="shared" si="6"/>
        <v>48.087043011762269</v>
      </c>
      <c r="L33" s="34">
        <f t="shared" si="7"/>
        <v>10.236419888514071</v>
      </c>
      <c r="M33" s="33">
        <f t="shared" si="7"/>
        <v>13.648559851352093</v>
      </c>
      <c r="N33" s="33">
        <f t="shared" si="7"/>
        <v>17.060699814190119</v>
      </c>
      <c r="O33" s="33">
        <f t="shared" si="7"/>
        <v>20.472839777028142</v>
      </c>
      <c r="P33" s="33">
        <f t="shared" si="7"/>
        <v>23.884979739866164</v>
      </c>
      <c r="Q33" s="33">
        <f t="shared" si="7"/>
        <v>27.297119702704187</v>
      </c>
      <c r="R33" s="33">
        <f t="shared" si="7"/>
        <v>30.709259665542209</v>
      </c>
      <c r="S33" s="32">
        <f t="shared" si="7"/>
        <v>34.121399628380239</v>
      </c>
    </row>
    <row r="34" spans="1:24">
      <c r="A34" s="30"/>
      <c r="B34" s="28" t="s">
        <v>66</v>
      </c>
      <c r="C34" s="29"/>
      <c r="D34" s="28"/>
      <c r="E34" s="28"/>
      <c r="F34" s="27"/>
      <c r="L34" t="s">
        <v>67</v>
      </c>
      <c r="M34">
        <v>461.5</v>
      </c>
    </row>
    <row r="35" spans="1:24">
      <c r="A35" s="30" t="s">
        <v>65</v>
      </c>
      <c r="B35" s="28"/>
      <c r="C35" s="29"/>
      <c r="D35" s="28"/>
      <c r="E35" s="28"/>
      <c r="F35" s="31"/>
    </row>
    <row r="36" spans="1:24">
      <c r="A36" s="30" t="s">
        <v>64</v>
      </c>
      <c r="B36" s="28"/>
      <c r="C36" s="29"/>
      <c r="D36" s="28"/>
      <c r="E36" s="28"/>
      <c r="F36" s="27"/>
    </row>
    <row r="37" spans="1:24">
      <c r="A37" s="30"/>
      <c r="B37" s="28" t="s">
        <v>63</v>
      </c>
      <c r="C37" s="29"/>
      <c r="D37" s="28"/>
      <c r="E37" s="28"/>
      <c r="F37" s="27"/>
    </row>
    <row r="38" spans="1:24">
      <c r="A38" s="30"/>
      <c r="B38" s="28" t="s">
        <v>62</v>
      </c>
      <c r="C38" s="29"/>
      <c r="D38" s="28"/>
      <c r="E38" s="28"/>
      <c r="F38" s="27"/>
    </row>
    <row r="39" spans="1:24">
      <c r="A39" s="26" t="s">
        <v>61</v>
      </c>
      <c r="B39" s="24"/>
      <c r="C39" s="25"/>
      <c r="D39" s="24"/>
      <c r="E39" s="24"/>
      <c r="F39" s="23"/>
    </row>
    <row r="43" spans="1:24" ht="19">
      <c r="A43" s="112" t="s">
        <v>170</v>
      </c>
      <c r="H43" s="84" t="s">
        <v>113</v>
      </c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</row>
    <row r="44" spans="1:24">
      <c r="H44" s="81"/>
      <c r="I44" s="81"/>
      <c r="J44" s="81"/>
      <c r="K44" s="81"/>
      <c r="L44" s="195" t="s">
        <v>90</v>
      </c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7"/>
    </row>
    <row r="45" spans="1:24">
      <c r="H45" s="195" t="s">
        <v>87</v>
      </c>
      <c r="I45" s="196"/>
      <c r="J45" s="197"/>
      <c r="K45" s="80" t="s">
        <v>86</v>
      </c>
      <c r="L45" s="78">
        <v>30</v>
      </c>
      <c r="M45" s="77">
        <v>35</v>
      </c>
      <c r="N45" s="77">
        <v>40</v>
      </c>
      <c r="O45" s="77">
        <v>45</v>
      </c>
      <c r="P45" s="77">
        <v>50</v>
      </c>
      <c r="Q45" s="77">
        <v>55</v>
      </c>
      <c r="R45" s="77">
        <v>60</v>
      </c>
      <c r="S45" s="77">
        <v>65</v>
      </c>
      <c r="T45" s="77">
        <v>70</v>
      </c>
      <c r="U45" s="77">
        <v>75</v>
      </c>
      <c r="V45" s="77">
        <v>80</v>
      </c>
      <c r="W45" s="77">
        <v>85</v>
      </c>
      <c r="X45" s="76">
        <v>90</v>
      </c>
    </row>
    <row r="46" spans="1:24">
      <c r="H46" s="73" t="s">
        <v>84</v>
      </c>
      <c r="I46" s="71" t="s">
        <v>83</v>
      </c>
      <c r="J46" s="72" t="s">
        <v>82</v>
      </c>
      <c r="K46" s="71" t="s">
        <v>81</v>
      </c>
      <c r="L46" s="192" t="s">
        <v>110</v>
      </c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4"/>
    </row>
    <row r="47" spans="1:24">
      <c r="H47" s="70">
        <v>60</v>
      </c>
      <c r="I47" s="69">
        <v>15.555555555555555</v>
      </c>
      <c r="J47" s="68">
        <v>288.70555555555552</v>
      </c>
      <c r="K47" s="67">
        <v>17.637771614819428</v>
      </c>
      <c r="L47" s="103">
        <v>1.2346440130373599</v>
      </c>
      <c r="M47" s="102">
        <v>1.1464551549632629</v>
      </c>
      <c r="N47" s="102">
        <v>1.0582662968891656</v>
      </c>
      <c r="O47" s="102">
        <v>0.97007743881506858</v>
      </c>
      <c r="P47" s="102">
        <v>0.88188858074097143</v>
      </c>
      <c r="Q47" s="102">
        <v>0.79369972266687427</v>
      </c>
      <c r="R47" s="102">
        <v>0.70551086459277712</v>
      </c>
      <c r="S47" s="102">
        <v>0.61732200651867997</v>
      </c>
      <c r="T47" s="102">
        <v>0.52913314844458292</v>
      </c>
      <c r="U47" s="102">
        <v>0.44094429037048571</v>
      </c>
      <c r="V47" s="102">
        <v>0.3527554322963885</v>
      </c>
      <c r="W47" s="102">
        <v>0.26456657422229146</v>
      </c>
      <c r="X47" s="101">
        <v>0.17637771614819425</v>
      </c>
    </row>
    <row r="48" spans="1:24">
      <c r="H48" s="30">
        <v>63</v>
      </c>
      <c r="I48" s="48">
        <v>17.222222222222221</v>
      </c>
      <c r="J48" s="47">
        <v>290.37222222222221</v>
      </c>
      <c r="K48" s="46">
        <v>19.61158096711323</v>
      </c>
      <c r="L48" s="93">
        <v>1.3728106676979261</v>
      </c>
      <c r="M48" s="92">
        <v>1.2747527628623601</v>
      </c>
      <c r="N48" s="92">
        <v>1.1766948580267937</v>
      </c>
      <c r="O48" s="92">
        <v>1.0786369531912279</v>
      </c>
      <c r="P48" s="92">
        <v>0.98057904835566156</v>
      </c>
      <c r="Q48" s="92">
        <v>0.88252114352009525</v>
      </c>
      <c r="R48" s="92">
        <v>0.78446323868452927</v>
      </c>
      <c r="S48" s="92">
        <v>0.68640533384896307</v>
      </c>
      <c r="T48" s="92">
        <v>0.58834742901339698</v>
      </c>
      <c r="U48" s="92">
        <v>0.49028952417783078</v>
      </c>
      <c r="V48" s="92">
        <v>0.39223161934226453</v>
      </c>
      <c r="W48" s="92">
        <v>0.29417371450669849</v>
      </c>
      <c r="X48" s="91">
        <v>0.19611580967113226</v>
      </c>
    </row>
    <row r="49" spans="8:24">
      <c r="H49" s="55">
        <v>66</v>
      </c>
      <c r="I49" s="54">
        <v>18.888888888888889</v>
      </c>
      <c r="J49" s="53">
        <v>292.03888888888889</v>
      </c>
      <c r="K49" s="52">
        <v>21.776857960376351</v>
      </c>
      <c r="L49" s="97">
        <v>1.5243800572263444</v>
      </c>
      <c r="M49" s="96">
        <v>1.4154957674244628</v>
      </c>
      <c r="N49" s="96">
        <v>1.306611477622581</v>
      </c>
      <c r="O49" s="96">
        <v>1.1977271878206994</v>
      </c>
      <c r="P49" s="96">
        <v>1.0888428980188176</v>
      </c>
      <c r="Q49" s="96">
        <v>0.9799586082169357</v>
      </c>
      <c r="R49" s="96">
        <v>0.87107431841505412</v>
      </c>
      <c r="S49" s="96">
        <v>0.7621900286131722</v>
      </c>
      <c r="T49" s="96">
        <v>0.65330573881129061</v>
      </c>
      <c r="U49" s="96">
        <v>0.54442144900940881</v>
      </c>
      <c r="V49" s="96">
        <v>0.43553715920752695</v>
      </c>
      <c r="W49" s="96">
        <v>0.32665286940564531</v>
      </c>
      <c r="X49" s="95">
        <v>0.21776857960376347</v>
      </c>
    </row>
    <row r="50" spans="8:24">
      <c r="H50" s="30">
        <v>69</v>
      </c>
      <c r="I50" s="48">
        <v>20.555555555555557</v>
      </c>
      <c r="J50" s="47">
        <v>293.70555555555552</v>
      </c>
      <c r="K50" s="46">
        <v>24.149195928655022</v>
      </c>
      <c r="L50" s="93">
        <v>1.6904437150058513</v>
      </c>
      <c r="M50" s="92">
        <v>1.5696977353625765</v>
      </c>
      <c r="N50" s="92">
        <v>1.4489517557193012</v>
      </c>
      <c r="O50" s="92">
        <v>1.3282057760760264</v>
      </c>
      <c r="P50" s="92">
        <v>1.2074597964327511</v>
      </c>
      <c r="Q50" s="92">
        <v>1.0867138167894759</v>
      </c>
      <c r="R50" s="92">
        <v>0.96596783714620094</v>
      </c>
      <c r="S50" s="92">
        <v>0.84522185750292567</v>
      </c>
      <c r="T50" s="92">
        <v>0.72447587785965073</v>
      </c>
      <c r="U50" s="92">
        <v>0.60372989821637557</v>
      </c>
      <c r="V50" s="92">
        <v>0.48298391857310036</v>
      </c>
      <c r="W50" s="92">
        <v>0.36223793892982536</v>
      </c>
      <c r="X50" s="91">
        <v>0.24149195928655018</v>
      </c>
    </row>
    <row r="51" spans="8:24">
      <c r="H51" s="55">
        <v>72</v>
      </c>
      <c r="I51" s="54">
        <v>22.222222222222221</v>
      </c>
      <c r="J51" s="53">
        <v>295.37222222222221</v>
      </c>
      <c r="K51" s="52">
        <v>26.745197938679713</v>
      </c>
      <c r="L51" s="97">
        <v>1.8721638557075799</v>
      </c>
      <c r="M51" s="96">
        <v>1.7384378660141813</v>
      </c>
      <c r="N51" s="96">
        <v>1.6047118763207826</v>
      </c>
      <c r="O51" s="96">
        <v>1.4709858866273842</v>
      </c>
      <c r="P51" s="96">
        <v>1.3372598969339857</v>
      </c>
      <c r="Q51" s="96">
        <v>1.2035339072405871</v>
      </c>
      <c r="R51" s="96">
        <v>1.0698079175471886</v>
      </c>
      <c r="S51" s="96">
        <v>0.93608192785378996</v>
      </c>
      <c r="T51" s="96">
        <v>0.80235593816039152</v>
      </c>
      <c r="U51" s="96">
        <v>0.66862994846699286</v>
      </c>
      <c r="V51" s="96">
        <v>0.53490395877359409</v>
      </c>
      <c r="W51" s="96">
        <v>0.40117796908019576</v>
      </c>
      <c r="X51" s="95">
        <v>0.26745197938679705</v>
      </c>
    </row>
    <row r="52" spans="8:24">
      <c r="H52" s="30">
        <v>75</v>
      </c>
      <c r="I52" s="48">
        <v>23.888888888888889</v>
      </c>
      <c r="J52" s="47">
        <v>297.03888888888889</v>
      </c>
      <c r="K52" s="46">
        <v>29.582523147763734</v>
      </c>
      <c r="L52" s="93">
        <v>2.0707766203434614</v>
      </c>
      <c r="M52" s="92">
        <v>1.922864004604643</v>
      </c>
      <c r="N52" s="92">
        <v>1.7749513888658239</v>
      </c>
      <c r="O52" s="92">
        <v>1.6270387731270055</v>
      </c>
      <c r="P52" s="92">
        <v>1.4791261573881866</v>
      </c>
      <c r="Q52" s="92">
        <v>1.3312135416493678</v>
      </c>
      <c r="R52" s="92">
        <v>1.1833009259105496</v>
      </c>
      <c r="S52" s="92">
        <v>1.0353883101717307</v>
      </c>
      <c r="T52" s="92">
        <v>0.88747569443291208</v>
      </c>
      <c r="U52" s="92">
        <v>0.73956307869409332</v>
      </c>
      <c r="V52" s="92">
        <v>0.59165046295527457</v>
      </c>
      <c r="W52" s="92">
        <v>0.44373784721645604</v>
      </c>
      <c r="X52" s="91">
        <v>0.29582523147763728</v>
      </c>
    </row>
    <row r="53" spans="8:24">
      <c r="H53" s="55">
        <v>78</v>
      </c>
      <c r="I53" s="54">
        <v>25.555555555555557</v>
      </c>
      <c r="J53" s="53">
        <v>298.70555555555552</v>
      </c>
      <c r="K53" s="52">
        <v>32.679934169318564</v>
      </c>
      <c r="L53" s="97">
        <v>2.2875953918522991</v>
      </c>
      <c r="M53" s="96">
        <v>2.1241957210057065</v>
      </c>
      <c r="N53" s="96">
        <v>1.9607960501591137</v>
      </c>
      <c r="O53" s="96">
        <v>1.7973963793125212</v>
      </c>
      <c r="P53" s="96">
        <v>1.6339967084659281</v>
      </c>
      <c r="Q53" s="96">
        <v>1.4705970376193354</v>
      </c>
      <c r="R53" s="96">
        <v>1.3071973667727428</v>
      </c>
      <c r="S53" s="96">
        <v>1.1437976959261495</v>
      </c>
      <c r="T53" s="96">
        <v>0.98039802507955698</v>
      </c>
      <c r="U53" s="96">
        <v>0.81699835423296407</v>
      </c>
      <c r="V53" s="96">
        <v>0.65359868338637117</v>
      </c>
      <c r="W53" s="96">
        <v>0.49019901253977849</v>
      </c>
      <c r="X53" s="95">
        <v>0.32679934169318559</v>
      </c>
    </row>
    <row r="54" spans="8:24">
      <c r="H54" s="30">
        <v>81</v>
      </c>
      <c r="I54" s="48">
        <v>27.222222222222221</v>
      </c>
      <c r="J54" s="47">
        <v>300.37222222222221</v>
      </c>
      <c r="K54" s="46">
        <v>36.057345415838697</v>
      </c>
      <c r="L54" s="93">
        <v>2.5240141791087085</v>
      </c>
      <c r="M54" s="92">
        <v>2.3437274520295155</v>
      </c>
      <c r="N54" s="92">
        <v>2.1634407249503216</v>
      </c>
      <c r="O54" s="92">
        <v>1.9831539978711283</v>
      </c>
      <c r="P54" s="92">
        <v>1.8028672707919349</v>
      </c>
      <c r="Q54" s="92">
        <v>1.6225805437127412</v>
      </c>
      <c r="R54" s="92">
        <v>1.4422938166335479</v>
      </c>
      <c r="S54" s="92">
        <v>1.2620070895543543</v>
      </c>
      <c r="T54" s="92">
        <v>1.0817203624751612</v>
      </c>
      <c r="U54" s="92">
        <v>0.90143363539596744</v>
      </c>
      <c r="V54" s="92">
        <v>0.72114690831677375</v>
      </c>
      <c r="W54" s="92">
        <v>0.54086018123758062</v>
      </c>
      <c r="X54" s="91">
        <v>0.36057345415838687</v>
      </c>
    </row>
    <row r="55" spans="8:24">
      <c r="H55" s="55">
        <v>84</v>
      </c>
      <c r="I55" s="54">
        <v>28.888888888888889</v>
      </c>
      <c r="J55" s="53">
        <v>302.03888888888889</v>
      </c>
      <c r="K55" s="52">
        <v>39.735872387167746</v>
      </c>
      <c r="L55" s="97">
        <v>2.781511067101742</v>
      </c>
      <c r="M55" s="96">
        <v>2.5828317051659035</v>
      </c>
      <c r="N55" s="96">
        <v>2.3841523432300646</v>
      </c>
      <c r="O55" s="96">
        <v>2.1854729812942262</v>
      </c>
      <c r="P55" s="96">
        <v>1.9867936193583873</v>
      </c>
      <c r="Q55" s="96">
        <v>1.7881142574225486</v>
      </c>
      <c r="R55" s="96">
        <v>1.5894348954867099</v>
      </c>
      <c r="S55" s="96">
        <v>1.390755533550871</v>
      </c>
      <c r="T55" s="96">
        <v>1.1920761716150325</v>
      </c>
      <c r="U55" s="96">
        <v>0.99339680967919364</v>
      </c>
      <c r="V55" s="96">
        <v>0.79471744774335473</v>
      </c>
      <c r="W55" s="96">
        <v>0.59603808580751627</v>
      </c>
      <c r="X55" s="95">
        <v>0.39735872387167737</v>
      </c>
    </row>
    <row r="56" spans="8:24">
      <c r="H56" s="30">
        <v>87</v>
      </c>
      <c r="I56" s="48">
        <v>30.555555555555557</v>
      </c>
      <c r="J56" s="47">
        <v>303.70555555555552</v>
      </c>
      <c r="K56" s="46">
        <v>43.73788186988601</v>
      </c>
      <c r="L56" s="93">
        <v>3.0616517308920206</v>
      </c>
      <c r="M56" s="92">
        <v>2.8429623215425908</v>
      </c>
      <c r="N56" s="92">
        <v>2.6242729121931605</v>
      </c>
      <c r="O56" s="92">
        <v>2.4055835028437307</v>
      </c>
      <c r="P56" s="92">
        <v>2.1868940934943004</v>
      </c>
      <c r="Q56" s="92">
        <v>1.9682046841448702</v>
      </c>
      <c r="R56" s="92">
        <v>1.7495152747954403</v>
      </c>
      <c r="S56" s="92">
        <v>1.5308258654460103</v>
      </c>
      <c r="T56" s="92">
        <v>1.3121364560965805</v>
      </c>
      <c r="U56" s="92">
        <v>1.0934470467471502</v>
      </c>
      <c r="V56" s="92">
        <v>0.87475763739771994</v>
      </c>
      <c r="W56" s="92">
        <v>0.65606822804829024</v>
      </c>
      <c r="X56" s="91">
        <v>0.43737881869885997</v>
      </c>
    </row>
    <row r="57" spans="8:24">
      <c r="H57" s="38">
        <v>90</v>
      </c>
      <c r="I57" s="37">
        <v>32.222222222222221</v>
      </c>
      <c r="J57" s="36">
        <v>305.37222222222221</v>
      </c>
      <c r="K57" s="35">
        <v>48.087043011762269</v>
      </c>
      <c r="L57" s="89">
        <v>3.3660930108233584</v>
      </c>
      <c r="M57" s="88">
        <v>3.1256577957645475</v>
      </c>
      <c r="N57" s="88">
        <v>2.8852225807057357</v>
      </c>
      <c r="O57" s="88">
        <v>2.6447873656469252</v>
      </c>
      <c r="P57" s="88">
        <v>2.4043521505881134</v>
      </c>
      <c r="Q57" s="88">
        <v>2.1639169355293015</v>
      </c>
      <c r="R57" s="88">
        <v>1.923481720470491</v>
      </c>
      <c r="S57" s="88">
        <v>1.6830465054116792</v>
      </c>
      <c r="T57" s="88">
        <v>1.4426112903528683</v>
      </c>
      <c r="U57" s="88">
        <v>1.2021760752940567</v>
      </c>
      <c r="V57" s="88">
        <v>0.96174086023524519</v>
      </c>
      <c r="W57" s="88">
        <v>0.72130564517643414</v>
      </c>
      <c r="X57" s="87">
        <v>0.48087043011762259</v>
      </c>
    </row>
    <row r="58" spans="8:24"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57"/>
      <c r="X58" s="60"/>
    </row>
    <row r="59" spans="8:24"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57"/>
      <c r="X59" s="60"/>
    </row>
    <row r="60" spans="8:24"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57"/>
      <c r="X60" s="60"/>
    </row>
  </sheetData>
  <mergeCells count="9">
    <mergeCell ref="L2:X2"/>
    <mergeCell ref="L4:X4"/>
    <mergeCell ref="H3:J3"/>
    <mergeCell ref="L46:X46"/>
    <mergeCell ref="L44:X44"/>
    <mergeCell ref="H45:J45"/>
    <mergeCell ref="H21:J21"/>
    <mergeCell ref="L20:S20"/>
    <mergeCell ref="L22:S22"/>
  </mergeCells>
  <phoneticPr fontId="22" type="noConversion"/>
  <conditionalFormatting sqref="L5:X15">
    <cfRule type="cellIs" dxfId="8" priority="10" operator="between">
      <formula>0.4</formula>
      <formula>0.8</formula>
    </cfRule>
    <cfRule type="cellIs" dxfId="7" priority="11" operator="between">
      <formula>0.8</formula>
      <formula>1.2</formula>
    </cfRule>
    <cfRule type="cellIs" dxfId="6" priority="12" operator="between">
      <formula>1.2</formula>
      <formula>1.6</formula>
    </cfRule>
  </conditionalFormatting>
  <conditionalFormatting sqref="L10:X13">
    <cfRule type="cellIs" dxfId="5" priority="9" operator="between">
      <formula>0.4</formula>
      <formula>0.8</formula>
    </cfRule>
  </conditionalFormatting>
  <conditionalFormatting sqref="L9:X11">
    <cfRule type="cellIs" dxfId="4" priority="8" operator="between">
      <formula>0.8</formula>
      <formula>1.2</formula>
    </cfRule>
  </conditionalFormatting>
  <conditionalFormatting sqref="L8:X10">
    <cfRule type="cellIs" dxfId="3" priority="7" operator="between">
      <formula>1.2</formula>
      <formula>1.6</formula>
    </cfRule>
  </conditionalFormatting>
  <conditionalFormatting sqref="L52:X55">
    <cfRule type="cellIs" dxfId="2" priority="3" operator="between">
      <formula>0.4</formula>
      <formula>0.8</formula>
    </cfRule>
  </conditionalFormatting>
  <conditionalFormatting sqref="L51:X53">
    <cfRule type="cellIs" dxfId="1" priority="2" operator="between">
      <formula>0.8</formula>
      <formula>1.2</formula>
    </cfRule>
  </conditionalFormatting>
  <conditionalFormatting sqref="L50:X52">
    <cfRule type="cellIs" dxfId="0" priority="1" operator="between">
      <formula>1.2</formula>
      <formula>1.6</formula>
    </cfRule>
  </conditionalFormatting>
  <pageMargins left="0.7" right="0.7" top="0.75" bottom="0.75" header="0.3" footer="0.3"/>
  <pageSetup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view="pageLayout" zoomScaleNormal="150" workbookViewId="0">
      <selection activeCell="H21" sqref="H21"/>
    </sheetView>
  </sheetViews>
  <sheetFormatPr baseColWidth="10" defaultRowHeight="16"/>
  <cols>
    <col min="1" max="1" width="8.33203125" style="112" customWidth="1"/>
    <col min="2" max="2" width="15" style="74" customWidth="1"/>
    <col min="3" max="3" width="7.5" style="62" customWidth="1"/>
    <col min="4" max="4" width="10.83203125" style="62"/>
    <col min="5" max="10" width="10.83203125" style="62" customWidth="1"/>
  </cols>
  <sheetData>
    <row r="1" spans="1:17" ht="20" customHeight="1">
      <c r="A1" s="134"/>
      <c r="B1" s="135"/>
      <c r="C1" s="136"/>
      <c r="D1" s="136"/>
      <c r="E1" s="201" t="s">
        <v>167</v>
      </c>
      <c r="F1" s="201"/>
      <c r="G1" s="201"/>
      <c r="H1" s="201" t="s">
        <v>169</v>
      </c>
      <c r="I1" s="201"/>
      <c r="J1" s="201"/>
      <c r="K1" s="202" t="s">
        <v>168</v>
      </c>
      <c r="L1" s="202"/>
      <c r="M1" s="202"/>
    </row>
    <row r="2" spans="1:17" s="57" customFormat="1" ht="20" customHeight="1">
      <c r="A2" s="134"/>
      <c r="B2" s="135"/>
      <c r="C2" s="137" t="s">
        <v>139</v>
      </c>
      <c r="D2" s="138" t="s">
        <v>142</v>
      </c>
      <c r="E2" s="139" t="s">
        <v>140</v>
      </c>
      <c r="F2" s="139" t="s">
        <v>141</v>
      </c>
      <c r="G2" s="140" t="s">
        <v>138</v>
      </c>
      <c r="H2" s="139" t="s">
        <v>140</v>
      </c>
      <c r="I2" s="139" t="s">
        <v>141</v>
      </c>
      <c r="J2" s="140" t="s">
        <v>138</v>
      </c>
      <c r="K2" s="105" t="s">
        <v>140</v>
      </c>
      <c r="L2" s="105" t="s">
        <v>141</v>
      </c>
      <c r="M2" s="104" t="s">
        <v>138</v>
      </c>
    </row>
    <row r="3" spans="1:17" ht="20" customHeight="1">
      <c r="A3" s="141" t="s">
        <v>137</v>
      </c>
      <c r="B3" s="142" t="s">
        <v>152</v>
      </c>
      <c r="C3" s="143">
        <v>1</v>
      </c>
      <c r="D3" s="144" t="s">
        <v>164</v>
      </c>
      <c r="E3" s="145">
        <v>1</v>
      </c>
      <c r="F3" s="145">
        <v>0.5</v>
      </c>
      <c r="G3" s="145">
        <v>0.5</v>
      </c>
      <c r="H3" s="146">
        <f>ROUND(E3*4.5,0)</f>
        <v>5</v>
      </c>
      <c r="I3" s="147">
        <f t="shared" ref="I3:J3" si="0">ROUND(F3*4.5,0)</f>
        <v>2</v>
      </c>
      <c r="J3" s="148">
        <f t="shared" si="0"/>
        <v>2</v>
      </c>
      <c r="K3" s="114">
        <f>E3*14</f>
        <v>14</v>
      </c>
      <c r="L3" s="114">
        <f t="shared" ref="L3:M18" si="1">F3*14</f>
        <v>7</v>
      </c>
      <c r="M3" s="115">
        <f t="shared" si="1"/>
        <v>7</v>
      </c>
      <c r="N3" s="74"/>
      <c r="O3">
        <f t="shared" ref="O3:O19" si="2">SUM(E3:G3)</f>
        <v>2</v>
      </c>
      <c r="P3">
        <f>AVERAGE(100,150)</f>
        <v>125</v>
      </c>
      <c r="Q3" s="129">
        <f t="shared" ref="Q3:Q18" si="3">P3/O3</f>
        <v>62.5</v>
      </c>
    </row>
    <row r="4" spans="1:17" ht="20" customHeight="1">
      <c r="A4" s="149"/>
      <c r="B4" s="150" t="s">
        <v>153</v>
      </c>
      <c r="C4" s="151">
        <v>2</v>
      </c>
      <c r="D4" s="152" t="s">
        <v>144</v>
      </c>
      <c r="E4" s="153">
        <v>4</v>
      </c>
      <c r="F4" s="153">
        <v>5</v>
      </c>
      <c r="G4" s="153">
        <v>0.5</v>
      </c>
      <c r="H4" s="154">
        <f t="shared" ref="H4:H19" si="4">ROUND(E4*4.5,0)</f>
        <v>18</v>
      </c>
      <c r="I4" s="155">
        <f t="shared" ref="I4:I19" si="5">ROUND(F4*4.5,0)</f>
        <v>23</v>
      </c>
      <c r="J4" s="156">
        <f t="shared" ref="J4:J19" si="6">ROUND(G4*4.5,0)</f>
        <v>2</v>
      </c>
      <c r="K4" s="117">
        <f>E4*14</f>
        <v>56</v>
      </c>
      <c r="L4" s="117">
        <f t="shared" si="1"/>
        <v>70</v>
      </c>
      <c r="M4" s="118">
        <f t="shared" si="1"/>
        <v>7</v>
      </c>
      <c r="O4">
        <f t="shared" si="2"/>
        <v>9.5</v>
      </c>
      <c r="P4">
        <f>AVERAGE(550,700)</f>
        <v>625</v>
      </c>
      <c r="Q4" s="129">
        <f t="shared" si="3"/>
        <v>65.78947368421052</v>
      </c>
    </row>
    <row r="5" spans="1:17" ht="20" customHeight="1">
      <c r="A5" s="157"/>
      <c r="B5" s="158" t="s">
        <v>163</v>
      </c>
      <c r="C5" s="159">
        <v>3</v>
      </c>
      <c r="D5" s="160" t="s">
        <v>144</v>
      </c>
      <c r="E5" s="161">
        <v>4</v>
      </c>
      <c r="F5" s="161">
        <v>5</v>
      </c>
      <c r="G5" s="161">
        <v>1</v>
      </c>
      <c r="H5" s="162">
        <f t="shared" si="4"/>
        <v>18</v>
      </c>
      <c r="I5" s="163">
        <f t="shared" si="5"/>
        <v>23</v>
      </c>
      <c r="J5" s="164">
        <f t="shared" si="6"/>
        <v>5</v>
      </c>
      <c r="K5" s="117">
        <f t="shared" ref="K5:K18" si="7">E5*14</f>
        <v>56</v>
      </c>
      <c r="L5" s="117">
        <f t="shared" si="1"/>
        <v>70</v>
      </c>
      <c r="M5" s="118">
        <f t="shared" si="1"/>
        <v>14</v>
      </c>
      <c r="O5">
        <f t="shared" si="2"/>
        <v>10</v>
      </c>
      <c r="P5">
        <f>AVERAGE(550,700)</f>
        <v>625</v>
      </c>
      <c r="Q5" s="129">
        <f t="shared" si="3"/>
        <v>62.5</v>
      </c>
    </row>
    <row r="6" spans="1:17" ht="20" customHeight="1">
      <c r="A6" s="149"/>
      <c r="B6" s="150"/>
      <c r="C6" s="151">
        <v>4</v>
      </c>
      <c r="D6" s="152" t="s">
        <v>149</v>
      </c>
      <c r="E6" s="153">
        <v>5</v>
      </c>
      <c r="F6" s="153">
        <v>5</v>
      </c>
      <c r="G6" s="153">
        <v>1</v>
      </c>
      <c r="H6" s="154">
        <f t="shared" si="4"/>
        <v>23</v>
      </c>
      <c r="I6" s="155">
        <f t="shared" si="5"/>
        <v>23</v>
      </c>
      <c r="J6" s="156">
        <f t="shared" si="6"/>
        <v>5</v>
      </c>
      <c r="K6" s="117">
        <f t="shared" si="7"/>
        <v>70</v>
      </c>
      <c r="L6" s="117">
        <f t="shared" si="1"/>
        <v>70</v>
      </c>
      <c r="M6" s="118">
        <f t="shared" si="1"/>
        <v>14</v>
      </c>
      <c r="O6">
        <f t="shared" si="2"/>
        <v>11</v>
      </c>
      <c r="P6">
        <f>AVERAGE(600,800)</f>
        <v>700</v>
      </c>
      <c r="Q6" s="129">
        <f t="shared" si="3"/>
        <v>63.636363636363633</v>
      </c>
    </row>
    <row r="7" spans="1:17" ht="20" customHeight="1">
      <c r="A7" s="157"/>
      <c r="B7" s="158" t="s">
        <v>154</v>
      </c>
      <c r="C7" s="159">
        <v>5</v>
      </c>
      <c r="D7" s="160" t="s">
        <v>145</v>
      </c>
      <c r="E7" s="161">
        <v>5</v>
      </c>
      <c r="F7" s="161">
        <v>5</v>
      </c>
      <c r="G7" s="161">
        <v>2</v>
      </c>
      <c r="H7" s="162">
        <f t="shared" si="4"/>
        <v>23</v>
      </c>
      <c r="I7" s="163">
        <f t="shared" si="5"/>
        <v>23</v>
      </c>
      <c r="J7" s="164">
        <f t="shared" si="6"/>
        <v>9</v>
      </c>
      <c r="K7" s="117">
        <f t="shared" si="7"/>
        <v>70</v>
      </c>
      <c r="L7" s="117">
        <f t="shared" si="1"/>
        <v>70</v>
      </c>
      <c r="M7" s="118">
        <f t="shared" si="1"/>
        <v>28</v>
      </c>
      <c r="O7">
        <f t="shared" si="2"/>
        <v>12</v>
      </c>
      <c r="P7" s="130">
        <v>750</v>
      </c>
      <c r="Q7" s="129">
        <f t="shared" si="3"/>
        <v>62.5</v>
      </c>
    </row>
    <row r="8" spans="1:17" ht="20" customHeight="1">
      <c r="A8" s="165" t="s">
        <v>138</v>
      </c>
      <c r="B8" s="166" t="s">
        <v>155</v>
      </c>
      <c r="C8" s="167">
        <v>6</v>
      </c>
      <c r="D8" s="168" t="s">
        <v>146</v>
      </c>
      <c r="E8" s="169">
        <v>4</v>
      </c>
      <c r="F8" s="169">
        <v>4</v>
      </c>
      <c r="G8" s="169">
        <v>3</v>
      </c>
      <c r="H8" s="170">
        <f t="shared" si="4"/>
        <v>18</v>
      </c>
      <c r="I8" s="171">
        <f t="shared" si="5"/>
        <v>18</v>
      </c>
      <c r="J8" s="172">
        <f t="shared" si="6"/>
        <v>14</v>
      </c>
      <c r="K8" s="117">
        <f t="shared" si="7"/>
        <v>56</v>
      </c>
      <c r="L8" s="117">
        <f t="shared" si="1"/>
        <v>56</v>
      </c>
      <c r="M8" s="118">
        <f t="shared" si="1"/>
        <v>42</v>
      </c>
      <c r="O8">
        <f t="shared" si="2"/>
        <v>11</v>
      </c>
      <c r="P8" s="130">
        <v>775</v>
      </c>
      <c r="Q8" s="129">
        <f t="shared" si="3"/>
        <v>70.454545454545453</v>
      </c>
    </row>
    <row r="9" spans="1:17" ht="20" customHeight="1">
      <c r="A9" s="173"/>
      <c r="B9" s="174" t="s">
        <v>156</v>
      </c>
      <c r="C9" s="175">
        <v>7</v>
      </c>
      <c r="D9" s="176" t="s">
        <v>147</v>
      </c>
      <c r="E9" s="177">
        <v>4</v>
      </c>
      <c r="F9" s="177">
        <v>1</v>
      </c>
      <c r="G9" s="177">
        <v>3.5</v>
      </c>
      <c r="H9" s="178">
        <f t="shared" si="4"/>
        <v>18</v>
      </c>
      <c r="I9" s="179">
        <f t="shared" si="5"/>
        <v>5</v>
      </c>
      <c r="J9" s="180">
        <f t="shared" si="6"/>
        <v>16</v>
      </c>
      <c r="K9" s="117">
        <f t="shared" si="7"/>
        <v>56</v>
      </c>
      <c r="L9" s="117">
        <f t="shared" si="1"/>
        <v>14</v>
      </c>
      <c r="M9" s="118">
        <f t="shared" si="1"/>
        <v>49</v>
      </c>
      <c r="O9">
        <f t="shared" si="2"/>
        <v>8.5</v>
      </c>
      <c r="P9">
        <f>AVERAGE(500,700)</f>
        <v>600</v>
      </c>
      <c r="Q9" s="129">
        <f t="shared" si="3"/>
        <v>70.588235294117652</v>
      </c>
    </row>
    <row r="10" spans="1:17" ht="20" customHeight="1">
      <c r="A10" s="165"/>
      <c r="B10" s="166"/>
      <c r="C10" s="167">
        <v>8</v>
      </c>
      <c r="D10" s="168" t="s">
        <v>147</v>
      </c>
      <c r="E10" s="169">
        <v>4</v>
      </c>
      <c r="F10" s="169">
        <v>1</v>
      </c>
      <c r="G10" s="169">
        <v>4</v>
      </c>
      <c r="H10" s="170">
        <f t="shared" si="4"/>
        <v>18</v>
      </c>
      <c r="I10" s="171">
        <f t="shared" si="5"/>
        <v>5</v>
      </c>
      <c r="J10" s="172">
        <f t="shared" si="6"/>
        <v>18</v>
      </c>
      <c r="K10" s="117">
        <f t="shared" si="7"/>
        <v>56</v>
      </c>
      <c r="L10" s="117">
        <f t="shared" si="1"/>
        <v>14</v>
      </c>
      <c r="M10" s="118">
        <f t="shared" si="1"/>
        <v>56</v>
      </c>
      <c r="O10">
        <f t="shared" si="2"/>
        <v>9</v>
      </c>
      <c r="P10">
        <f>AVERAGE(500,700)</f>
        <v>600</v>
      </c>
      <c r="Q10" s="129">
        <f t="shared" si="3"/>
        <v>66.666666666666671</v>
      </c>
    </row>
    <row r="11" spans="1:17" ht="20" customHeight="1">
      <c r="A11" s="173"/>
      <c r="B11" s="174"/>
      <c r="C11" s="175">
        <v>9</v>
      </c>
      <c r="D11" s="176" t="s">
        <v>148</v>
      </c>
      <c r="E11" s="177">
        <v>4</v>
      </c>
      <c r="F11" s="177">
        <v>1</v>
      </c>
      <c r="G11" s="177">
        <v>5</v>
      </c>
      <c r="H11" s="178">
        <f t="shared" si="4"/>
        <v>18</v>
      </c>
      <c r="I11" s="179">
        <f t="shared" si="5"/>
        <v>5</v>
      </c>
      <c r="J11" s="180">
        <f t="shared" si="6"/>
        <v>23</v>
      </c>
      <c r="K11" s="117">
        <f t="shared" si="7"/>
        <v>56</v>
      </c>
      <c r="L11" s="117">
        <f t="shared" si="1"/>
        <v>14</v>
      </c>
      <c r="M11" s="118">
        <f t="shared" si="1"/>
        <v>70</v>
      </c>
      <c r="O11">
        <f t="shared" si="2"/>
        <v>10</v>
      </c>
      <c r="P11">
        <f>AVERAGE(550,750)</f>
        <v>650</v>
      </c>
      <c r="Q11" s="129">
        <f t="shared" si="3"/>
        <v>65</v>
      </c>
    </row>
    <row r="12" spans="1:17" ht="20" customHeight="1">
      <c r="A12" s="165"/>
      <c r="B12" s="166" t="s">
        <v>157</v>
      </c>
      <c r="C12" s="167">
        <v>10</v>
      </c>
      <c r="D12" s="168" t="s">
        <v>149</v>
      </c>
      <c r="E12" s="169">
        <v>4</v>
      </c>
      <c r="F12" s="169">
        <v>1</v>
      </c>
      <c r="G12" s="169">
        <v>5</v>
      </c>
      <c r="H12" s="170">
        <f t="shared" si="4"/>
        <v>18</v>
      </c>
      <c r="I12" s="171">
        <f t="shared" si="5"/>
        <v>5</v>
      </c>
      <c r="J12" s="172">
        <f t="shared" si="6"/>
        <v>23</v>
      </c>
      <c r="K12" s="117">
        <f t="shared" si="7"/>
        <v>56</v>
      </c>
      <c r="L12" s="117">
        <f t="shared" si="1"/>
        <v>14</v>
      </c>
      <c r="M12" s="118">
        <f t="shared" si="1"/>
        <v>70</v>
      </c>
      <c r="O12">
        <f t="shared" si="2"/>
        <v>10</v>
      </c>
      <c r="P12">
        <f t="shared" ref="P12:P17" si="8">AVERAGE(600,800)</f>
        <v>700</v>
      </c>
      <c r="Q12" s="129">
        <f t="shared" si="3"/>
        <v>70</v>
      </c>
    </row>
    <row r="13" spans="1:17" ht="20" customHeight="1">
      <c r="A13" s="173"/>
      <c r="B13" s="174"/>
      <c r="C13" s="175">
        <v>11</v>
      </c>
      <c r="D13" s="176" t="s">
        <v>149</v>
      </c>
      <c r="E13" s="177">
        <v>4</v>
      </c>
      <c r="F13" s="177">
        <v>1</v>
      </c>
      <c r="G13" s="177">
        <v>6</v>
      </c>
      <c r="H13" s="178">
        <f t="shared" si="4"/>
        <v>18</v>
      </c>
      <c r="I13" s="179">
        <f t="shared" si="5"/>
        <v>5</v>
      </c>
      <c r="J13" s="180">
        <f t="shared" si="6"/>
        <v>27</v>
      </c>
      <c r="K13" s="117">
        <f t="shared" si="7"/>
        <v>56</v>
      </c>
      <c r="L13" s="117">
        <f t="shared" si="1"/>
        <v>14</v>
      </c>
      <c r="M13" s="118">
        <f t="shared" si="1"/>
        <v>84</v>
      </c>
      <c r="O13">
        <f t="shared" si="2"/>
        <v>11</v>
      </c>
      <c r="P13">
        <f t="shared" si="8"/>
        <v>700</v>
      </c>
      <c r="Q13" s="129">
        <f t="shared" si="3"/>
        <v>63.636363636363633</v>
      </c>
    </row>
    <row r="14" spans="1:17" ht="20" customHeight="1">
      <c r="A14" s="165"/>
      <c r="B14" s="166"/>
      <c r="C14" s="167">
        <v>12</v>
      </c>
      <c r="D14" s="168" t="s">
        <v>149</v>
      </c>
      <c r="E14" s="169">
        <v>4</v>
      </c>
      <c r="F14" s="169">
        <v>1</v>
      </c>
      <c r="G14" s="169">
        <v>6</v>
      </c>
      <c r="H14" s="170">
        <f t="shared" si="4"/>
        <v>18</v>
      </c>
      <c r="I14" s="171">
        <f t="shared" si="5"/>
        <v>5</v>
      </c>
      <c r="J14" s="172">
        <f t="shared" si="6"/>
        <v>27</v>
      </c>
      <c r="K14" s="117">
        <f t="shared" si="7"/>
        <v>56</v>
      </c>
      <c r="L14" s="117">
        <f t="shared" si="1"/>
        <v>14</v>
      </c>
      <c r="M14" s="118">
        <f t="shared" si="1"/>
        <v>84</v>
      </c>
      <c r="O14">
        <f t="shared" si="2"/>
        <v>11</v>
      </c>
      <c r="P14">
        <f t="shared" si="8"/>
        <v>700</v>
      </c>
      <c r="Q14" s="129">
        <f t="shared" si="3"/>
        <v>63.636363636363633</v>
      </c>
    </row>
    <row r="15" spans="1:17" ht="20" customHeight="1">
      <c r="A15" s="173"/>
      <c r="B15" s="174"/>
      <c r="C15" s="175">
        <v>13</v>
      </c>
      <c r="D15" s="176" t="s">
        <v>149</v>
      </c>
      <c r="E15" s="177">
        <v>4</v>
      </c>
      <c r="F15" s="177">
        <v>1</v>
      </c>
      <c r="G15" s="177">
        <v>7</v>
      </c>
      <c r="H15" s="178">
        <f t="shared" si="4"/>
        <v>18</v>
      </c>
      <c r="I15" s="179">
        <f t="shared" si="5"/>
        <v>5</v>
      </c>
      <c r="J15" s="180">
        <f t="shared" si="6"/>
        <v>32</v>
      </c>
      <c r="K15" s="117">
        <f t="shared" si="7"/>
        <v>56</v>
      </c>
      <c r="L15" s="117">
        <f t="shared" si="1"/>
        <v>14</v>
      </c>
      <c r="M15" s="118">
        <f t="shared" si="1"/>
        <v>98</v>
      </c>
      <c r="O15">
        <f t="shared" si="2"/>
        <v>12</v>
      </c>
      <c r="P15">
        <f t="shared" si="8"/>
        <v>700</v>
      </c>
      <c r="Q15" s="129">
        <f t="shared" si="3"/>
        <v>58.333333333333336</v>
      </c>
    </row>
    <row r="16" spans="1:17" ht="20" customHeight="1">
      <c r="A16" s="165"/>
      <c r="B16" s="166"/>
      <c r="C16" s="167">
        <v>14</v>
      </c>
      <c r="D16" s="168" t="s">
        <v>149</v>
      </c>
      <c r="E16" s="169">
        <v>4</v>
      </c>
      <c r="F16" s="169">
        <v>0</v>
      </c>
      <c r="G16" s="169">
        <v>7</v>
      </c>
      <c r="H16" s="170">
        <f t="shared" si="4"/>
        <v>18</v>
      </c>
      <c r="I16" s="171">
        <f t="shared" si="5"/>
        <v>0</v>
      </c>
      <c r="J16" s="172">
        <f t="shared" si="6"/>
        <v>32</v>
      </c>
      <c r="K16" s="117">
        <f t="shared" si="7"/>
        <v>56</v>
      </c>
      <c r="L16" s="117">
        <f t="shared" si="1"/>
        <v>0</v>
      </c>
      <c r="M16" s="118">
        <f t="shared" si="1"/>
        <v>98</v>
      </c>
      <c r="O16">
        <f t="shared" si="2"/>
        <v>11</v>
      </c>
      <c r="P16">
        <f t="shared" si="8"/>
        <v>700</v>
      </c>
      <c r="Q16" s="129">
        <f t="shared" si="3"/>
        <v>63.636363636363633</v>
      </c>
    </row>
    <row r="17" spans="1:17" ht="20" customHeight="1">
      <c r="A17" s="173"/>
      <c r="B17" s="174" t="s">
        <v>158</v>
      </c>
      <c r="C17" s="175">
        <v>15</v>
      </c>
      <c r="D17" s="176" t="s">
        <v>149</v>
      </c>
      <c r="E17" s="177">
        <v>4</v>
      </c>
      <c r="F17" s="177">
        <v>0</v>
      </c>
      <c r="G17" s="177">
        <v>8</v>
      </c>
      <c r="H17" s="178">
        <f t="shared" si="4"/>
        <v>18</v>
      </c>
      <c r="I17" s="179">
        <f t="shared" si="5"/>
        <v>0</v>
      </c>
      <c r="J17" s="180">
        <f t="shared" si="6"/>
        <v>36</v>
      </c>
      <c r="K17" s="117">
        <f t="shared" si="7"/>
        <v>56</v>
      </c>
      <c r="L17" s="117">
        <f t="shared" si="1"/>
        <v>0</v>
      </c>
      <c r="M17" s="118">
        <f t="shared" si="1"/>
        <v>112</v>
      </c>
      <c r="O17">
        <f t="shared" si="2"/>
        <v>12</v>
      </c>
      <c r="P17">
        <f t="shared" si="8"/>
        <v>700</v>
      </c>
      <c r="Q17" s="129">
        <f t="shared" si="3"/>
        <v>58.333333333333336</v>
      </c>
    </row>
    <row r="18" spans="1:17" ht="20" customHeight="1">
      <c r="A18" s="165"/>
      <c r="B18" s="166" t="s">
        <v>159</v>
      </c>
      <c r="C18" s="167">
        <v>16</v>
      </c>
      <c r="D18" s="168" t="s">
        <v>150</v>
      </c>
      <c r="E18" s="169">
        <v>2.5</v>
      </c>
      <c r="F18" s="169">
        <v>0</v>
      </c>
      <c r="G18" s="169">
        <v>8</v>
      </c>
      <c r="H18" s="170">
        <f>ROUND(E18*4.5,0)</f>
        <v>11</v>
      </c>
      <c r="I18" s="171">
        <f t="shared" si="5"/>
        <v>0</v>
      </c>
      <c r="J18" s="172">
        <f t="shared" si="6"/>
        <v>36</v>
      </c>
      <c r="K18" s="117">
        <f t="shared" si="7"/>
        <v>35</v>
      </c>
      <c r="L18" s="117">
        <f t="shared" si="1"/>
        <v>0</v>
      </c>
      <c r="M18" s="118">
        <f t="shared" si="1"/>
        <v>112</v>
      </c>
      <c r="O18">
        <f t="shared" si="2"/>
        <v>10.5</v>
      </c>
      <c r="P18">
        <f>AVERAGE(400,700)</f>
        <v>550</v>
      </c>
      <c r="Q18" s="129">
        <f t="shared" si="3"/>
        <v>52.38095238095238</v>
      </c>
    </row>
    <row r="19" spans="1:17" ht="20" customHeight="1">
      <c r="A19" s="181"/>
      <c r="B19" s="182" t="s">
        <v>160</v>
      </c>
      <c r="C19" s="183">
        <v>17</v>
      </c>
      <c r="D19" s="184" t="s">
        <v>151</v>
      </c>
      <c r="E19" s="185">
        <v>0</v>
      </c>
      <c r="F19" s="185">
        <v>0</v>
      </c>
      <c r="G19" s="185">
        <v>0</v>
      </c>
      <c r="H19" s="186">
        <f t="shared" si="4"/>
        <v>0</v>
      </c>
      <c r="I19" s="187">
        <f t="shared" si="5"/>
        <v>0</v>
      </c>
      <c r="J19" s="188">
        <f t="shared" si="6"/>
        <v>0</v>
      </c>
      <c r="K19" s="120">
        <f>E19*14</f>
        <v>0</v>
      </c>
      <c r="L19" s="120">
        <f t="shared" ref="L19:M19" si="9">F19*14</f>
        <v>0</v>
      </c>
      <c r="M19" s="121">
        <f t="shared" si="9"/>
        <v>0</v>
      </c>
      <c r="O19">
        <f t="shared" si="2"/>
        <v>0</v>
      </c>
      <c r="P19">
        <f>AVERAGE(0,50)</f>
        <v>25</v>
      </c>
      <c r="Q19" s="129" t="s">
        <v>7</v>
      </c>
    </row>
    <row r="20" spans="1:17">
      <c r="K20" s="131">
        <f>SUM(K3:K19)</f>
        <v>861</v>
      </c>
      <c r="L20" s="131">
        <f t="shared" ref="L20:M20" si="10">SUM(L3:L19)</f>
        <v>441</v>
      </c>
      <c r="M20" s="131">
        <f t="shared" si="10"/>
        <v>945</v>
      </c>
      <c r="N20" s="74" t="s">
        <v>165</v>
      </c>
      <c r="Q20" s="129"/>
    </row>
    <row r="21" spans="1:17">
      <c r="K21" s="132">
        <f>K20/946.35</f>
        <v>0.90981138056744326</v>
      </c>
      <c r="L21" s="132">
        <f t="shared" ref="L21:M21" si="11">L20/946.35</f>
        <v>0.46600095102234901</v>
      </c>
      <c r="M21" s="132">
        <f t="shared" si="11"/>
        <v>0.99857346647646217</v>
      </c>
      <c r="N21" s="74" t="s">
        <v>166</v>
      </c>
      <c r="Q21" s="129"/>
    </row>
    <row r="22" spans="1:17">
      <c r="Q22" s="129"/>
    </row>
    <row r="23" spans="1:17">
      <c r="A23" s="60" t="s">
        <v>162</v>
      </c>
      <c r="C23" s="106" t="s">
        <v>139</v>
      </c>
      <c r="D23" s="125" t="s">
        <v>142</v>
      </c>
      <c r="E23" s="105" t="s">
        <v>140</v>
      </c>
      <c r="F23" s="105" t="s">
        <v>141</v>
      </c>
      <c r="G23" s="104" t="s">
        <v>138</v>
      </c>
      <c r="H23" s="133"/>
      <c r="I23" s="133"/>
      <c r="J23" s="133"/>
      <c r="K23" s="57"/>
      <c r="L23" s="57"/>
      <c r="M23" s="57"/>
      <c r="N23" s="57"/>
      <c r="Q23" s="129"/>
    </row>
    <row r="24" spans="1:17">
      <c r="A24" s="113" t="s">
        <v>137</v>
      </c>
      <c r="B24" s="41" t="s">
        <v>152</v>
      </c>
      <c r="C24" s="122">
        <v>1</v>
      </c>
      <c r="D24" s="126" t="s">
        <v>143</v>
      </c>
      <c r="E24" s="114">
        <v>2</v>
      </c>
      <c r="F24" s="114">
        <v>1</v>
      </c>
      <c r="G24" s="115">
        <v>1</v>
      </c>
      <c r="H24" s="117"/>
      <c r="I24" s="117"/>
      <c r="J24" s="117"/>
      <c r="K24" s="74" t="s">
        <v>161</v>
      </c>
      <c r="L24" s="74"/>
      <c r="M24" s="74"/>
      <c r="N24" s="74"/>
      <c r="O24">
        <f t="shared" ref="O24:O35" si="12">SUM(E24:G24)</f>
        <v>4</v>
      </c>
      <c r="P24">
        <f>AVERAGE(200,250)</f>
        <v>225</v>
      </c>
      <c r="Q24" s="129">
        <f>P24/O24</f>
        <v>56.25</v>
      </c>
    </row>
    <row r="25" spans="1:17">
      <c r="A25" s="116"/>
      <c r="B25" s="28" t="s">
        <v>153</v>
      </c>
      <c r="C25" s="123">
        <v>2</v>
      </c>
      <c r="D25" s="127" t="s">
        <v>144</v>
      </c>
      <c r="E25" s="117">
        <v>4</v>
      </c>
      <c r="F25" s="117">
        <v>5</v>
      </c>
      <c r="G25" s="118">
        <v>1</v>
      </c>
      <c r="H25" s="117"/>
      <c r="I25" s="117"/>
      <c r="J25" s="117"/>
      <c r="O25">
        <f t="shared" si="12"/>
        <v>10</v>
      </c>
      <c r="P25">
        <f>AVERAGE(550,700)</f>
        <v>625</v>
      </c>
      <c r="Q25" s="129">
        <f t="shared" ref="Q25:Q34" si="13">P25/O25</f>
        <v>62.5</v>
      </c>
    </row>
    <row r="26" spans="1:17">
      <c r="A26" s="119"/>
      <c r="B26" s="24" t="s">
        <v>154</v>
      </c>
      <c r="C26" s="124">
        <v>3</v>
      </c>
      <c r="D26" s="128" t="s">
        <v>145</v>
      </c>
      <c r="E26" s="120">
        <v>5</v>
      </c>
      <c r="F26" s="120">
        <v>5</v>
      </c>
      <c r="G26" s="121">
        <v>2.5</v>
      </c>
      <c r="H26" s="117"/>
      <c r="I26" s="117"/>
      <c r="J26" s="117"/>
      <c r="O26">
        <f t="shared" si="12"/>
        <v>12.5</v>
      </c>
      <c r="P26">
        <f>AVERAGE(600,900)</f>
        <v>750</v>
      </c>
      <c r="Q26" s="129">
        <f t="shared" si="13"/>
        <v>60</v>
      </c>
    </row>
    <row r="27" spans="1:17">
      <c r="A27" s="116" t="s">
        <v>138</v>
      </c>
      <c r="B27" s="28" t="s">
        <v>155</v>
      </c>
      <c r="C27" s="123">
        <v>4</v>
      </c>
      <c r="D27" s="127" t="s">
        <v>146</v>
      </c>
      <c r="E27" s="117">
        <v>4</v>
      </c>
      <c r="F27" s="117">
        <v>4</v>
      </c>
      <c r="G27" s="118">
        <v>4</v>
      </c>
      <c r="H27" s="117"/>
      <c r="I27" s="117"/>
      <c r="J27" s="117"/>
      <c r="O27">
        <f t="shared" si="12"/>
        <v>12</v>
      </c>
      <c r="P27">
        <f>AVERAGE(650,900)</f>
        <v>775</v>
      </c>
      <c r="Q27" s="129">
        <f t="shared" si="13"/>
        <v>64.583333333333329</v>
      </c>
    </row>
    <row r="28" spans="1:17">
      <c r="A28" s="116"/>
      <c r="B28" s="28" t="s">
        <v>156</v>
      </c>
      <c r="C28" s="123">
        <v>5</v>
      </c>
      <c r="D28" s="127" t="s">
        <v>147</v>
      </c>
      <c r="E28" s="117">
        <v>4</v>
      </c>
      <c r="F28" s="117">
        <v>1</v>
      </c>
      <c r="G28" s="118">
        <v>5</v>
      </c>
      <c r="H28" s="117"/>
      <c r="I28" s="117"/>
      <c r="J28" s="117"/>
      <c r="O28">
        <f t="shared" si="12"/>
        <v>10</v>
      </c>
      <c r="P28">
        <f>AVERAGE(500,700)</f>
        <v>600</v>
      </c>
      <c r="Q28" s="129">
        <f t="shared" si="13"/>
        <v>60</v>
      </c>
    </row>
    <row r="29" spans="1:17">
      <c r="A29" s="116"/>
      <c r="B29" s="28" t="s">
        <v>156</v>
      </c>
      <c r="C29" s="123">
        <v>6</v>
      </c>
      <c r="D29" s="127" t="s">
        <v>148</v>
      </c>
      <c r="E29" s="117">
        <v>4</v>
      </c>
      <c r="F29" s="117">
        <v>1</v>
      </c>
      <c r="G29" s="118">
        <v>5</v>
      </c>
      <c r="H29" s="117"/>
      <c r="I29" s="117"/>
      <c r="J29" s="117"/>
      <c r="O29">
        <f t="shared" si="12"/>
        <v>10</v>
      </c>
      <c r="P29">
        <f>AVERAGE(550,750)</f>
        <v>650</v>
      </c>
      <c r="Q29" s="129">
        <f t="shared" si="13"/>
        <v>65</v>
      </c>
    </row>
    <row r="30" spans="1:17">
      <c r="A30" s="116"/>
      <c r="B30" s="28" t="s">
        <v>157</v>
      </c>
      <c r="C30" s="123">
        <v>7</v>
      </c>
      <c r="D30" s="127" t="s">
        <v>149</v>
      </c>
      <c r="E30" s="117">
        <v>4</v>
      </c>
      <c r="F30" s="117">
        <v>1</v>
      </c>
      <c r="G30" s="118">
        <v>6</v>
      </c>
      <c r="H30" s="117"/>
      <c r="I30" s="117"/>
      <c r="J30" s="117"/>
      <c r="O30">
        <f t="shared" si="12"/>
        <v>11</v>
      </c>
      <c r="P30">
        <f>AVERAGE(600,800)</f>
        <v>700</v>
      </c>
      <c r="Q30" s="129">
        <f t="shared" si="13"/>
        <v>63.636363636363633</v>
      </c>
    </row>
    <row r="31" spans="1:17">
      <c r="A31" s="116"/>
      <c r="B31" s="28" t="s">
        <v>157</v>
      </c>
      <c r="C31" s="123">
        <v>8</v>
      </c>
      <c r="D31" s="127" t="s">
        <v>149</v>
      </c>
      <c r="E31" s="117">
        <v>4</v>
      </c>
      <c r="F31" s="117">
        <v>1</v>
      </c>
      <c r="G31" s="118">
        <v>6</v>
      </c>
      <c r="H31" s="117"/>
      <c r="I31" s="117"/>
      <c r="J31" s="117"/>
      <c r="O31">
        <f t="shared" si="12"/>
        <v>11</v>
      </c>
      <c r="P31">
        <f t="shared" ref="P31:P33" si="14">AVERAGE(600,800)</f>
        <v>700</v>
      </c>
      <c r="Q31" s="129">
        <f t="shared" si="13"/>
        <v>63.636363636363633</v>
      </c>
    </row>
    <row r="32" spans="1:17">
      <c r="A32" s="116"/>
      <c r="B32" s="28" t="s">
        <v>157</v>
      </c>
      <c r="C32" s="123">
        <v>9</v>
      </c>
      <c r="D32" s="127" t="s">
        <v>149</v>
      </c>
      <c r="E32" s="117">
        <v>4</v>
      </c>
      <c r="F32" s="117">
        <v>0</v>
      </c>
      <c r="G32" s="118">
        <v>8</v>
      </c>
      <c r="H32" s="117"/>
      <c r="I32" s="117"/>
      <c r="J32" s="117"/>
      <c r="O32">
        <f t="shared" si="12"/>
        <v>12</v>
      </c>
      <c r="P32">
        <f t="shared" si="14"/>
        <v>700</v>
      </c>
      <c r="Q32" s="129">
        <f t="shared" si="13"/>
        <v>58.333333333333336</v>
      </c>
    </row>
    <row r="33" spans="1:17">
      <c r="A33" s="116"/>
      <c r="B33" s="28" t="s">
        <v>158</v>
      </c>
      <c r="C33" s="123">
        <v>10</v>
      </c>
      <c r="D33" s="127" t="s">
        <v>149</v>
      </c>
      <c r="E33" s="117">
        <v>4</v>
      </c>
      <c r="F33" s="117">
        <v>0</v>
      </c>
      <c r="G33" s="118">
        <v>8</v>
      </c>
      <c r="H33" s="117"/>
      <c r="I33" s="117"/>
      <c r="J33" s="117"/>
      <c r="O33">
        <f t="shared" si="12"/>
        <v>12</v>
      </c>
      <c r="P33">
        <f t="shared" si="14"/>
        <v>700</v>
      </c>
      <c r="Q33" s="129">
        <f t="shared" si="13"/>
        <v>58.333333333333336</v>
      </c>
    </row>
    <row r="34" spans="1:17">
      <c r="A34" s="116"/>
      <c r="B34" s="28" t="s">
        <v>159</v>
      </c>
      <c r="C34" s="123">
        <v>11</v>
      </c>
      <c r="D34" s="127" t="s">
        <v>150</v>
      </c>
      <c r="E34" s="117">
        <v>2.5</v>
      </c>
      <c r="F34" s="117">
        <v>0</v>
      </c>
      <c r="G34" s="118">
        <v>8</v>
      </c>
      <c r="H34" s="117"/>
      <c r="I34" s="117"/>
      <c r="J34" s="117"/>
      <c r="O34">
        <f t="shared" si="12"/>
        <v>10.5</v>
      </c>
      <c r="P34">
        <f>AVERAGE(400,700)</f>
        <v>550</v>
      </c>
      <c r="Q34" s="129">
        <f t="shared" si="13"/>
        <v>52.38095238095238</v>
      </c>
    </row>
    <row r="35" spans="1:17">
      <c r="A35" s="119"/>
      <c r="B35" s="24" t="s">
        <v>160</v>
      </c>
      <c r="C35" s="124">
        <v>12</v>
      </c>
      <c r="D35" s="128" t="s">
        <v>151</v>
      </c>
      <c r="E35" s="120">
        <v>0</v>
      </c>
      <c r="F35" s="120">
        <v>0</v>
      </c>
      <c r="G35" s="121">
        <v>0</v>
      </c>
      <c r="H35" s="117"/>
      <c r="I35" s="117"/>
      <c r="J35" s="117"/>
      <c r="O35">
        <f t="shared" si="12"/>
        <v>0</v>
      </c>
      <c r="P35">
        <f>AVERAGE(0,50)</f>
        <v>25</v>
      </c>
      <c r="Q35" s="129" t="s">
        <v>7</v>
      </c>
    </row>
  </sheetData>
  <mergeCells count="3">
    <mergeCell ref="E1:G1"/>
    <mergeCell ref="K1:M1"/>
    <mergeCell ref="H1:J1"/>
  </mergeCells>
  <phoneticPr fontId="22" type="noConversion"/>
  <pageMargins left="0.7" right="0.7" top="0.75" bottom="0.75" header="0.3" footer="0.3"/>
  <pageSetup orientation="landscape" horizontalDpi="0" verticalDpi="0"/>
  <headerFooter>
    <oddHeader>&amp;L&amp;"Calibri (Body),Bold Italic"&amp;18Nutrients</oddHeader>
  </headerFooter>
  <rowBreaks count="1" manualBreakCount="1">
    <brk id="22" max="16383" man="1"/>
  </rowBreaks>
  <colBreaks count="1" manualBreakCount="1">
    <brk id="10" max="1048575" man="1"/>
  </colBreaks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zoomScale="150" zoomScaleNormal="150" zoomScalePageLayoutView="150" workbookViewId="0">
      <pane xSplit="1" ySplit="1" topLeftCell="B2" activePane="bottomRight" state="frozen"/>
      <selection activeCell="B21" sqref="B21"/>
      <selection pane="topRight" activeCell="B21" sqref="B21"/>
      <selection pane="bottomLeft" activeCell="B21" sqref="B21"/>
      <selection pane="bottomRight" activeCell="A21" sqref="A21"/>
    </sheetView>
  </sheetViews>
  <sheetFormatPr baseColWidth="10" defaultRowHeight="16"/>
  <cols>
    <col min="1" max="1" width="14.6640625" style="1" customWidth="1"/>
    <col min="2" max="2" width="6.83203125" style="1" customWidth="1"/>
    <col min="3" max="3" width="29.33203125" style="1" hidden="1" customWidth="1"/>
    <col min="4" max="4" width="7.5" style="1" bestFit="1" customWidth="1"/>
    <col min="5" max="5" width="26.5" style="1" bestFit="1" customWidth="1"/>
    <col min="6" max="6" width="7.5" style="1" bestFit="1" customWidth="1"/>
    <col min="7" max="7" width="19.1640625" style="1" hidden="1" customWidth="1"/>
    <col min="8" max="8" width="8.83203125" style="1" customWidth="1"/>
    <col min="9" max="9" width="28.5" style="1" hidden="1" customWidth="1"/>
    <col min="10" max="10" width="12" style="1" bestFit="1" customWidth="1"/>
    <col min="11" max="11" width="8.83203125" style="1" bestFit="1" customWidth="1"/>
    <col min="12" max="12" width="9" style="1" bestFit="1" customWidth="1"/>
    <col min="13" max="13" width="9.83203125" style="1" bestFit="1" customWidth="1"/>
    <col min="14" max="16384" width="10.83203125" style="1"/>
  </cols>
  <sheetData>
    <row r="1" spans="1:14" s="19" customFormat="1" ht="34">
      <c r="A1" s="19" t="s">
        <v>60</v>
      </c>
      <c r="B1" s="189" t="s">
        <v>136</v>
      </c>
      <c r="C1" s="190"/>
      <c r="D1" s="191" t="s">
        <v>59</v>
      </c>
      <c r="E1" s="191"/>
      <c r="F1" s="189" t="s">
        <v>58</v>
      </c>
      <c r="G1" s="190"/>
      <c r="H1" s="189" t="s">
        <v>57</v>
      </c>
      <c r="I1" s="190"/>
      <c r="J1" s="22" t="s">
        <v>56</v>
      </c>
      <c r="K1" s="19" t="s">
        <v>131</v>
      </c>
      <c r="L1" s="21" t="s">
        <v>55</v>
      </c>
      <c r="M1" s="19" t="s">
        <v>54</v>
      </c>
      <c r="N1" s="20" t="s">
        <v>53</v>
      </c>
    </row>
    <row r="2" spans="1:14">
      <c r="A2" s="5" t="s">
        <v>52</v>
      </c>
      <c r="B2" s="14" t="s">
        <v>51</v>
      </c>
      <c r="C2" s="9" t="s">
        <v>50</v>
      </c>
      <c r="D2" s="12"/>
      <c r="E2" s="11" t="s">
        <v>49</v>
      </c>
      <c r="F2" s="10" t="s">
        <v>7</v>
      </c>
      <c r="G2" s="9" t="s">
        <v>48</v>
      </c>
      <c r="H2" s="10" t="s">
        <v>9</v>
      </c>
      <c r="I2" s="9" t="s">
        <v>47</v>
      </c>
      <c r="J2" s="8" t="s">
        <v>8</v>
      </c>
      <c r="K2" s="109" t="s">
        <v>7</v>
      </c>
      <c r="L2" s="7" t="s">
        <v>7</v>
      </c>
      <c r="N2" s="6"/>
    </row>
    <row r="3" spans="1:14">
      <c r="A3" s="5" t="s">
        <v>46</v>
      </c>
      <c r="B3" s="8" t="s">
        <v>134</v>
      </c>
      <c r="C3" s="9" t="s">
        <v>45</v>
      </c>
      <c r="D3" s="1" t="s">
        <v>44</v>
      </c>
      <c r="E3" s="11" t="s">
        <v>43</v>
      </c>
      <c r="F3" s="10">
        <v>0.8</v>
      </c>
      <c r="G3" s="9" t="s">
        <v>42</v>
      </c>
      <c r="H3" s="10"/>
      <c r="I3" s="9" t="s">
        <v>41</v>
      </c>
      <c r="J3" s="17" t="s">
        <v>40</v>
      </c>
      <c r="K3" s="110" t="s">
        <v>130</v>
      </c>
      <c r="L3" s="7" t="s">
        <v>132</v>
      </c>
      <c r="N3" s="6"/>
    </row>
    <row r="4" spans="1:14">
      <c r="A4" s="5" t="s">
        <v>39</v>
      </c>
      <c r="B4" s="8" t="s">
        <v>134</v>
      </c>
      <c r="C4" s="9" t="s">
        <v>38</v>
      </c>
      <c r="D4" s="1" t="s">
        <v>37</v>
      </c>
      <c r="E4" s="11" t="s">
        <v>36</v>
      </c>
      <c r="F4" s="10" t="s">
        <v>35</v>
      </c>
      <c r="G4" s="9" t="s">
        <v>34</v>
      </c>
      <c r="H4" s="10" t="s">
        <v>12</v>
      </c>
      <c r="I4" s="9"/>
      <c r="J4" s="17" t="s">
        <v>129</v>
      </c>
      <c r="K4" s="111">
        <v>30</v>
      </c>
      <c r="L4" s="7" t="s">
        <v>132</v>
      </c>
      <c r="N4" s="6"/>
    </row>
    <row r="5" spans="1:14">
      <c r="A5" s="5" t="s">
        <v>33</v>
      </c>
      <c r="B5" s="8" t="s">
        <v>32</v>
      </c>
      <c r="C5" s="9" t="s">
        <v>31</v>
      </c>
      <c r="D5" s="1" t="s">
        <v>30</v>
      </c>
      <c r="E5" s="11" t="s">
        <v>29</v>
      </c>
      <c r="F5" s="18">
        <v>1</v>
      </c>
      <c r="G5" s="9" t="s">
        <v>28</v>
      </c>
      <c r="H5" s="18" t="s">
        <v>27</v>
      </c>
      <c r="I5" s="9" t="s">
        <v>26</v>
      </c>
      <c r="J5" s="17" t="s">
        <v>128</v>
      </c>
      <c r="K5" s="111">
        <v>24</v>
      </c>
      <c r="L5" s="16" t="s">
        <v>132</v>
      </c>
      <c r="M5" s="15"/>
      <c r="N5" s="6"/>
    </row>
    <row r="6" spans="1:14">
      <c r="A6" s="5" t="s">
        <v>25</v>
      </c>
      <c r="B6" s="8" t="s">
        <v>21</v>
      </c>
      <c r="C6" s="9" t="s">
        <v>20</v>
      </c>
      <c r="D6" s="1" t="s">
        <v>24</v>
      </c>
      <c r="E6" s="11" t="s">
        <v>125</v>
      </c>
      <c r="F6" s="10" t="s">
        <v>18</v>
      </c>
      <c r="G6" s="9" t="s">
        <v>23</v>
      </c>
      <c r="H6" s="10" t="s">
        <v>126</v>
      </c>
      <c r="I6" s="9" t="s">
        <v>127</v>
      </c>
      <c r="J6" s="14" t="s">
        <v>15</v>
      </c>
      <c r="K6" s="111">
        <v>18</v>
      </c>
      <c r="L6" s="13" t="s">
        <v>133</v>
      </c>
      <c r="M6" s="12"/>
      <c r="N6" s="6"/>
    </row>
    <row r="7" spans="1:14">
      <c r="A7" s="5" t="s">
        <v>22</v>
      </c>
      <c r="B7" s="8" t="s">
        <v>21</v>
      </c>
      <c r="C7" s="9" t="s">
        <v>20</v>
      </c>
      <c r="D7" s="1" t="s">
        <v>19</v>
      </c>
      <c r="E7" s="11"/>
      <c r="F7" s="10" t="s">
        <v>18</v>
      </c>
      <c r="G7" s="9" t="s">
        <v>17</v>
      </c>
      <c r="H7" s="10" t="s">
        <v>124</v>
      </c>
      <c r="I7" s="9" t="s">
        <v>16</v>
      </c>
      <c r="J7" s="14" t="s">
        <v>15</v>
      </c>
      <c r="K7" s="111">
        <v>18</v>
      </c>
      <c r="L7" s="13" t="s">
        <v>133</v>
      </c>
      <c r="M7" s="12"/>
      <c r="N7" s="6"/>
    </row>
    <row r="8" spans="1:14">
      <c r="A8" s="5" t="s">
        <v>14</v>
      </c>
      <c r="B8" s="8" t="s">
        <v>13</v>
      </c>
      <c r="C8" s="9" t="s">
        <v>117</v>
      </c>
      <c r="D8" s="1" t="s">
        <v>30</v>
      </c>
      <c r="E8" s="11" t="s">
        <v>122</v>
      </c>
      <c r="F8" s="10" t="s">
        <v>7</v>
      </c>
      <c r="G8" s="9"/>
      <c r="H8" s="10" t="s">
        <v>9</v>
      </c>
      <c r="I8" s="9" t="s">
        <v>115</v>
      </c>
      <c r="J8" s="8" t="s">
        <v>8</v>
      </c>
      <c r="K8" s="109" t="s">
        <v>7</v>
      </c>
      <c r="L8" s="7" t="s">
        <v>120</v>
      </c>
      <c r="N8" s="6"/>
    </row>
    <row r="9" spans="1:14">
      <c r="A9" s="5" t="s">
        <v>11</v>
      </c>
      <c r="B9" s="8" t="s">
        <v>10</v>
      </c>
      <c r="C9" s="9" t="s">
        <v>119</v>
      </c>
      <c r="D9" s="1" t="s">
        <v>123</v>
      </c>
      <c r="E9" s="11" t="s">
        <v>121</v>
      </c>
      <c r="F9" s="10" t="s">
        <v>7</v>
      </c>
      <c r="G9" s="9"/>
      <c r="H9" s="10" t="s">
        <v>9</v>
      </c>
      <c r="I9" s="9" t="s">
        <v>118</v>
      </c>
      <c r="J9" s="8" t="s">
        <v>8</v>
      </c>
      <c r="K9" s="109" t="s">
        <v>7</v>
      </c>
      <c r="L9" s="7" t="s">
        <v>7</v>
      </c>
      <c r="N9" s="6"/>
    </row>
    <row r="10" spans="1:14">
      <c r="A10" s="5"/>
      <c r="H10" s="2" t="s">
        <v>135</v>
      </c>
    </row>
    <row r="11" spans="1:14" s="4" customFormat="1"/>
    <row r="13" spans="1:14">
      <c r="B13" s="3" t="s">
        <v>6</v>
      </c>
    </row>
    <row r="14" spans="1:14">
      <c r="B14" s="3" t="s">
        <v>5</v>
      </c>
    </row>
    <row r="15" spans="1:14">
      <c r="B15" s="3" t="s">
        <v>4</v>
      </c>
    </row>
    <row r="16" spans="1:14">
      <c r="B16" s="3" t="s">
        <v>3</v>
      </c>
    </row>
    <row r="17" spans="2:2">
      <c r="B17" s="3" t="s">
        <v>2</v>
      </c>
    </row>
    <row r="18" spans="2:2">
      <c r="B18" s="3" t="s">
        <v>1</v>
      </c>
    </row>
    <row r="19" spans="2:2">
      <c r="B19" s="3" t="s">
        <v>116</v>
      </c>
    </row>
    <row r="21" spans="2:2">
      <c r="B21" s="2" t="s">
        <v>0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humidity, VPD, etc.</vt:lpstr>
      <vt:lpstr>nutrients</vt:lpstr>
      <vt:lpstr>stages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Emmett Wald</dc:creator>
  <cp:lastModifiedBy>Emmett Wald</cp:lastModifiedBy>
  <cp:lastPrinted>2020-06-26T02:32:51Z</cp:lastPrinted>
  <dcterms:created xsi:type="dcterms:W3CDTF">2020-05-16T03:14:13Z</dcterms:created>
  <dcterms:modified xsi:type="dcterms:W3CDTF">2020-11-15T17:19:43Z</dcterms:modified>
</cp:coreProperties>
</file>